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8"/>
  <workbookPr filterPrivacy="1" defaultThemeVersion="124226"/>
  <xr:revisionPtr revIDLastSave="0" documentId="13_ncr:1_{0C16B349-BDA7-4244-8CCC-86FD0C780927}" xr6:coauthVersionLast="36" xr6:coauthVersionMax="45" xr10:uidLastSave="{00000000-0000-0000-0000-000000000000}"/>
  <bookViews>
    <workbookView xWindow="-120" yWindow="330" windowWidth="19440" windowHeight="15000" xr2:uid="{00000000-000D-0000-FFFF-FFFF00000000}"/>
  </bookViews>
  <sheets>
    <sheet name="Додаток" sheetId="1" r:id="rId1"/>
  </sheets>
  <definedNames>
    <definedName name="_xlnm.Print_Area" localSheetId="0">Додаток!$A$1:$G$113</definedName>
  </definedNames>
  <calcPr calcId="191029"/>
</workbook>
</file>

<file path=xl/calcChain.xml><?xml version="1.0" encoding="utf-8"?>
<calcChain xmlns="http://schemas.openxmlformats.org/spreadsheetml/2006/main">
  <c r="D45" i="1" l="1"/>
  <c r="D28" i="1"/>
  <c r="D9" i="1"/>
  <c r="E103" i="1"/>
  <c r="D103" i="1"/>
  <c r="D99" i="1"/>
  <c r="D25" i="1"/>
  <c r="D24" i="1"/>
  <c r="D41" i="1"/>
  <c r="D66" i="1"/>
  <c r="D68" i="1"/>
  <c r="D61" i="1"/>
  <c r="D90" i="1"/>
  <c r="D7" i="1" l="1"/>
  <c r="D19" i="1"/>
  <c r="D108" i="1"/>
  <c r="E99" i="1"/>
  <c r="D100" i="1"/>
  <c r="D63" i="1"/>
  <c r="D81" i="1"/>
  <c r="D71" i="1"/>
  <c r="D43" i="1"/>
  <c r="D60" i="1"/>
  <c r="D58" i="1"/>
  <c r="D62" i="1"/>
  <c r="D65" i="1"/>
  <c r="D70" i="1"/>
  <c r="D84" i="1"/>
  <c r="D27" i="1"/>
  <c r="D52" i="1"/>
  <c r="D48" i="1"/>
  <c r="D59" i="1"/>
  <c r="D69" i="1"/>
  <c r="D78" i="1"/>
  <c r="D98" i="1"/>
  <c r="D76" i="1"/>
  <c r="D51" i="1"/>
  <c r="D33" i="1"/>
  <c r="D17" i="1"/>
  <c r="D15" i="1"/>
  <c r="D16" i="1"/>
  <c r="E106" i="1"/>
  <c r="E107" i="1"/>
  <c r="D23" i="1"/>
  <c r="D49" i="1"/>
  <c r="D44" i="1"/>
  <c r="D50" i="1"/>
  <c r="D47" i="1"/>
  <c r="D35" i="1"/>
  <c r="D10" i="1"/>
  <c r="D96" i="1"/>
  <c r="D91" i="1"/>
  <c r="D88" i="1"/>
  <c r="D87" i="1"/>
  <c r="D56" i="1"/>
  <c r="D18" i="1" l="1"/>
  <c r="D75" i="1" l="1"/>
  <c r="D102" i="1" l="1"/>
  <c r="D104" i="1" s="1"/>
  <c r="D46" i="1"/>
  <c r="D64" i="1"/>
  <c r="D55" i="1"/>
  <c r="D37" i="1"/>
  <c r="D36" i="1"/>
  <c r="D54" i="1" s="1"/>
  <c r="D83" i="1" l="1"/>
  <c r="E102" i="1" l="1"/>
  <c r="E100" i="1"/>
  <c r="D79" i="1" l="1"/>
  <c r="E105" i="1" l="1"/>
  <c r="D94" i="1"/>
  <c r="D92" i="1" l="1"/>
  <c r="D82" i="1" l="1"/>
  <c r="D80" i="1" l="1"/>
  <c r="D77" i="1"/>
  <c r="D86" i="1" s="1"/>
  <c r="D89" i="1" l="1"/>
</calcChain>
</file>

<file path=xl/sharedStrings.xml><?xml version="1.0" encoding="utf-8"?>
<sst xmlns="http://schemas.openxmlformats.org/spreadsheetml/2006/main" count="314" uniqueCount="205">
  <si>
    <t xml:space="preserve"> Конкретна назва предмета закупівлі</t>
  </si>
  <si>
    <t>Код згідно КЕКВ (для бюджетних установ)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</si>
  <si>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</si>
  <si>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</si>
  <si>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</si>
  <si>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</si>
  <si>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Додаток</t>
  </si>
  <si>
    <t>Коди та назви відповідних класифікаторів  предмета закупівлі (за наявності) за     ДК 021:2015</t>
  </si>
  <si>
    <t xml:space="preserve"> 09130000-9 Нафта і дистиляти </t>
  </si>
  <si>
    <t xml:space="preserve">19640000-4 Поліетиленові мішки та пакети для сміття </t>
  </si>
  <si>
    <t>Пакети для сміття</t>
  </si>
  <si>
    <t xml:space="preserve">22200000-2 Газети, періодичні спеціалізовані та інші періодичні видання і журнали </t>
  </si>
  <si>
    <t>Періодичні видання</t>
  </si>
  <si>
    <t>Картриджі</t>
  </si>
  <si>
    <t xml:space="preserve">30120000-6 Фотокопіювальне та поліграфічне обладнання для офсетного друку </t>
  </si>
  <si>
    <t xml:space="preserve">30190000-7 Офісне устаткування та приладдя різне </t>
  </si>
  <si>
    <t xml:space="preserve">30230000-0 Комп’ютерне обладнання </t>
  </si>
  <si>
    <t xml:space="preserve">31310000-2 Мережеві кабелі </t>
  </si>
  <si>
    <t>Подовжувачі</t>
  </si>
  <si>
    <t>Мило</t>
  </si>
  <si>
    <t xml:space="preserve">33710000-0 Парфуми, засоби гігієни та презервативи </t>
  </si>
  <si>
    <t xml:space="preserve">33760000-5 Туалетний папір, носові хустинки, рушники для рук і серветки </t>
  </si>
  <si>
    <t xml:space="preserve">39240000-6 Різальні інструменти </t>
  </si>
  <si>
    <t xml:space="preserve">39520000-3 Готові текстильні вироби </t>
  </si>
  <si>
    <t xml:space="preserve">39530000-6 Килимові покриття, килимки та килими </t>
  </si>
  <si>
    <t>Килимки</t>
  </si>
  <si>
    <t xml:space="preserve">39810000-3 Ароматизатори та воски </t>
  </si>
  <si>
    <t>Освіжувачі повітря</t>
  </si>
  <si>
    <t xml:space="preserve">39830000-9 Продукція для чищення </t>
  </si>
  <si>
    <t>Білизна, доместос, порошок для чищення</t>
  </si>
  <si>
    <t xml:space="preserve">44420000-0 Будівельні товари </t>
  </si>
  <si>
    <t xml:space="preserve">75250000-3 Послуги пожежних і рятувальних служб </t>
  </si>
  <si>
    <t>Цілодобове спостереження та технічного обслуговування за установками пожежної автоматики</t>
  </si>
  <si>
    <t xml:space="preserve">34330000-9 Запасні частини до вантажних транспортних засобів, фургонів та легкових автомобілів </t>
  </si>
  <si>
    <t xml:space="preserve">79710000-4 Охоронні послуги </t>
  </si>
  <si>
    <t>Охоронна сигналізація</t>
  </si>
  <si>
    <t xml:space="preserve">45330000-9 Водопровідні та санітарно-технічні роботи </t>
  </si>
  <si>
    <t>71630000-3: Послуги з технічного огляду та випробовувань</t>
  </si>
  <si>
    <t>Діагностика (експертиза) майна до списання</t>
  </si>
  <si>
    <t xml:space="preserve">50310000-1 Технічне обслуговування і ремонт офісної техніки </t>
  </si>
  <si>
    <t>Заправка картриджів, ремонт комп'ютерної та оргтехніки</t>
  </si>
  <si>
    <t xml:space="preserve">50110000-9 Послуги з ремонту і технічного обслуговування мототранспортних засобів і супутнього обладнання </t>
  </si>
  <si>
    <t>Технічне обслуговування автомобіля</t>
  </si>
  <si>
    <t xml:space="preserve">50410000-2 Послуги з ремонту і технічного обслуговування вимірювальних, випробувальних і контрольних приладів </t>
  </si>
  <si>
    <t xml:space="preserve">64110000-0 Поштові послуги </t>
  </si>
  <si>
    <t>Послуги з передплати, відправка посилок</t>
  </si>
  <si>
    <t xml:space="preserve">64210000-1 Послуги телефонного зв’язку та передачі даних </t>
  </si>
  <si>
    <t>Послуги телефонного зв'язку</t>
  </si>
  <si>
    <t>Страхування приміщення, автомобіля</t>
  </si>
  <si>
    <t xml:space="preserve">66510000-8 Страхові послуги </t>
  </si>
  <si>
    <t xml:space="preserve">66110000-4 Банківські послуги </t>
  </si>
  <si>
    <t xml:space="preserve">70320000-0 Послуги з надання в оренду чи продажу земельних ділянок </t>
  </si>
  <si>
    <t xml:space="preserve">72260000-5 Послуги, пов’язані з програмним забезпеченням </t>
  </si>
  <si>
    <t xml:space="preserve">79130000-4 Юридичні послуги, пов’язані з оформленням і засвідченням документів </t>
  </si>
  <si>
    <t>Послуги нотаріуса</t>
  </si>
  <si>
    <t xml:space="preserve">79990000-0 Різні послуги, пов’язані з діловою сферою </t>
  </si>
  <si>
    <t xml:space="preserve">90510000-5 Утилізація сміття та поводження зі сміттям </t>
  </si>
  <si>
    <t>Без використання електронної системи</t>
  </si>
  <si>
    <t>09310000-5: Електрична енергія</t>
  </si>
  <si>
    <t>Звіт про укладений договір</t>
  </si>
  <si>
    <t xml:space="preserve">19430000-9 Пряжа та текстильні нитки з натуральних волокон </t>
  </si>
  <si>
    <t xml:space="preserve">85110000-3 Послуги лікувальних закладів та супутні послуги </t>
  </si>
  <si>
    <t>код згідно з ЄДРПОУ 34847329</t>
  </si>
  <si>
    <t>_____________________</t>
  </si>
  <si>
    <t xml:space="preserve">Рівненський окружний адміністративний суд  </t>
  </si>
  <si>
    <t xml:space="preserve">48443000-5 Пакети програмного забезпечення для бухгалтерського обліку </t>
  </si>
  <si>
    <t xml:space="preserve">72220000-3 Консультаційні послуги з питань систем та з технічних питань </t>
  </si>
  <si>
    <t>Адміністрування діловодства</t>
  </si>
  <si>
    <t>90430000-0 — Послуги з відведення стічних вод</t>
  </si>
  <si>
    <t>Водовідведення</t>
  </si>
  <si>
    <t>65110000-7 — Розподіл води</t>
  </si>
  <si>
    <t xml:space="preserve">Централізоване водопостачання </t>
  </si>
  <si>
    <t>Разом 2210</t>
  </si>
  <si>
    <t>Разом 2240</t>
  </si>
  <si>
    <t>Разом 2272</t>
  </si>
  <si>
    <t>71310000-4 Консультаційні послуги у галузях інженерії та будівництва</t>
  </si>
  <si>
    <t xml:space="preserve">50730000-1 Послуги з ремонту і технічного обслуговування охолоджувальних установок </t>
  </si>
  <si>
    <t xml:space="preserve">Енергія електрична </t>
  </si>
  <si>
    <t>Голова тендерного комітету (суддя)</t>
  </si>
  <si>
    <t>Д.П. Зозуля</t>
  </si>
  <si>
    <t xml:space="preserve">31150000-2 Баласти для розрядних ламп чи трубок </t>
  </si>
  <si>
    <t>Бензин А-95</t>
  </si>
  <si>
    <t>Нитки</t>
  </si>
  <si>
    <t>Швидкозшивачі</t>
  </si>
  <si>
    <t>Диски, флешки, принтер кольоровий</t>
  </si>
  <si>
    <t>Мережеве та комунікац обладнання (ДБЖ)</t>
  </si>
  <si>
    <t>Автозапчастини</t>
  </si>
  <si>
    <t>Ножиці, ножі канцелярські</t>
  </si>
  <si>
    <t>Ганчірки для миття підлоги, посуду, витирання пилу тощо</t>
  </si>
  <si>
    <t>Матеріали для благоустрою території суду та госп діяльності</t>
  </si>
  <si>
    <t>Без застосування електронної системи</t>
  </si>
  <si>
    <t>Пакети програмного забезпечення для бухгалтерського обліку(Встановлення Іс-про, Медок)</t>
  </si>
  <si>
    <t>Програмне забезпечення Eset NOD32 Antivirus</t>
  </si>
  <si>
    <t>Послуги банку</t>
  </si>
  <si>
    <t>Оплата за оренду землі</t>
  </si>
  <si>
    <t>Супровід НАУ, оновлення ПК "IS-Pro"</t>
  </si>
  <si>
    <t>Супроводження ІСС</t>
  </si>
  <si>
    <t>ЛІГА-ЗАКОН</t>
  </si>
  <si>
    <t>Упорядкування архіву</t>
  </si>
  <si>
    <t>Передрейсовий огляд водія</t>
  </si>
  <si>
    <t xml:space="preserve">48760000-3 Пакети програмного забезпечення для захисту від вірусів </t>
  </si>
  <si>
    <t xml:space="preserve">72240000-9 Послуги з аналізу та програмування систем </t>
  </si>
  <si>
    <t xml:space="preserve">72250000-2 Послуги, пов’язані із системами та підтримкою </t>
  </si>
  <si>
    <t xml:space="preserve"> до річного плану закупівель на 2019 рік </t>
  </si>
  <si>
    <t xml:space="preserve">72310000-1 Послуги з обробки даних </t>
  </si>
  <si>
    <t>Секретар тендерного комітету (старший судовий розпорядник)</t>
  </si>
  <si>
    <t>Ю.В. Кіба</t>
  </si>
  <si>
    <t>Кошти загального фонду</t>
  </si>
  <si>
    <t xml:space="preserve">65310000-9 Розподіл електричної енергії </t>
  </si>
  <si>
    <t>Послуга з передачі реактивної енергії</t>
  </si>
  <si>
    <t xml:space="preserve">45310000-3 Електромонтажні роботи </t>
  </si>
  <si>
    <t>Монтаж та налагодження тривожної сигналізації «Тривожна кнопка»</t>
  </si>
  <si>
    <t>Разом 2273</t>
  </si>
  <si>
    <t>Разом 2275</t>
  </si>
  <si>
    <t>Вивезення сміття</t>
  </si>
  <si>
    <t>Кошти спеціального фонду</t>
  </si>
  <si>
    <t>71247000-1 – Нагляд за будівельними роботами</t>
  </si>
  <si>
    <t>Разом 3142</t>
  </si>
  <si>
    <t>Утилізація</t>
  </si>
  <si>
    <t>Здійснення технічного нагляду та здійснення авторського нагляду по об'єкту «Реконструкція приміщення в м. Рівне по вул. 16 Липня, 87 (І-ІІІ черга будівництва)»(додаткові роботи І черга)</t>
  </si>
  <si>
    <t>Туалетний папір, паперові рушники для рук</t>
  </si>
  <si>
    <t>Разом 3110</t>
  </si>
  <si>
    <t>30210000-4 Машини для обробки даних (апаратна частина)</t>
  </si>
  <si>
    <t>Персональні комп’ютери</t>
  </si>
  <si>
    <t xml:space="preserve">32330000-5 Апаратура для запису та відтворення аудіо- та відеоматеріалу </t>
  </si>
  <si>
    <t>Апаратура для запису та відтворення аудіо- та відеоматеріалу (Технічний засіб фіксування судового процесу)</t>
  </si>
  <si>
    <t>90470000-2 Послуги з чищення каналізаційних колекторів</t>
  </si>
  <si>
    <t>Прочищення каналізаційного колектора</t>
  </si>
  <si>
    <t>Перезарядка вогнегасників, технічна перевірка засобів електрообліку</t>
  </si>
  <si>
    <t xml:space="preserve">Обладнання для влаштування тривожної сигналізації </t>
  </si>
  <si>
    <t>31620000-8 Прилади звукової та візуальної сигналізації</t>
  </si>
  <si>
    <t>39510000-0 Вироби домашнього текстилю</t>
  </si>
  <si>
    <t>Жалюзі</t>
  </si>
  <si>
    <t>39710000-2 Електричні побутові прилади</t>
  </si>
  <si>
    <t>Порохотяг</t>
  </si>
  <si>
    <t>Канцелярські товари</t>
  </si>
  <si>
    <t>Власні надходження</t>
  </si>
  <si>
    <t>Технічне обслуговування кондиціонерів</t>
  </si>
  <si>
    <t>Проведення судових експертиз, інженерні послуги</t>
  </si>
  <si>
    <t>Автомобільні шини</t>
  </si>
  <si>
    <t>34350000-5 Шини для транспортних засобів великої та малої тоннажності</t>
  </si>
  <si>
    <t>Кондиціонери</t>
  </si>
  <si>
    <t>32420000-3 Мережеве обладнання</t>
  </si>
  <si>
    <t>Мережевий комутатор</t>
  </si>
  <si>
    <t>Крісла офісні</t>
  </si>
  <si>
    <t>39110000-6 Сидіння, стільці та супутні вироби і частини до них</t>
  </si>
  <si>
    <t xml:space="preserve">44610000-9 Цистерни, резервуари, контейнери та посудини високого тиску </t>
  </si>
  <si>
    <t>Кортонні коробки для відправки поштової кореспонденції</t>
  </si>
  <si>
    <t>Хімічне чищення суддівських мантій</t>
  </si>
  <si>
    <t xml:space="preserve">98310000-9 Послуги з прання і сухого чищення </t>
  </si>
  <si>
    <t xml:space="preserve">45420000-7 Столярні та теслярні роботи </t>
  </si>
  <si>
    <t>Ремонт дверних замків</t>
  </si>
  <si>
    <t>Монтаж кондиціонерів, ремонт труб системи опалення, ремонт сантехніки</t>
  </si>
  <si>
    <t>Разом 2282</t>
  </si>
  <si>
    <t>80570000-0: Послуги з професійної підготовки у сфері підвищення кваліфікації</t>
  </si>
  <si>
    <t>Навчання та підвищення кваліфікації членів тендерного комітету</t>
  </si>
  <si>
    <t>Обкладинки судових справ</t>
  </si>
  <si>
    <t xml:space="preserve">22820000-4 Бланки </t>
  </si>
  <si>
    <t xml:space="preserve">39290000-1 Фурнітура різна </t>
  </si>
  <si>
    <t>Фурнітура меблева різна</t>
  </si>
  <si>
    <t xml:space="preserve">22850000-3: Швидкозшивачі та супутнє приладдя </t>
  </si>
  <si>
    <t>Розробка тимчасових норм середнього ресурсу пневматичних шин службового автомобіля</t>
  </si>
  <si>
    <t xml:space="preserve">73110000-6 Дослідницькі послуги </t>
  </si>
  <si>
    <t xml:space="preserve">18140000-2 Аксесуари до робочого одягу </t>
  </si>
  <si>
    <t>Рукавиці робочі</t>
  </si>
  <si>
    <t xml:space="preserve">39220000-0 Кухонне приладдя, товари для дому та господарства і приладдя для закладів громадського харчування </t>
  </si>
  <si>
    <t>Швабри, йоржик туалетний</t>
  </si>
  <si>
    <t>Клей</t>
  </si>
  <si>
    <t xml:space="preserve">24910000-6 Клеї </t>
  </si>
  <si>
    <t>ДСТУ БД.1.1-7:2013 Виготовлення проектно-кошторисної документації по об'єкту «Реконструкція приміщення в м. Рівне по вул. 16 Липня, 87» (коригування)</t>
  </si>
  <si>
    <t>71300000-1 інженерні послуги</t>
  </si>
  <si>
    <t xml:space="preserve">Експертиза проектно-кошторисної документації по об'єкту «Реконструкція приміщення в м. Рівне по вул. 16 Липня, 87» </t>
  </si>
  <si>
    <t>22830000-7 Зошити</t>
  </si>
  <si>
    <t>Зошити робочі</t>
  </si>
  <si>
    <t>Папір А4, конверти, ручки, олівці, маркери, ножиці, степлери, дироколи, гумки, скотч, скріпки, скоби, фірмові листівки</t>
  </si>
  <si>
    <t>ЕЦП для засобу КЗІ, ключі для «M.E.Doc»,</t>
  </si>
  <si>
    <t>Разом 2281</t>
  </si>
  <si>
    <t>Власні надходження Довідка №2 від 26.11.2019</t>
  </si>
  <si>
    <t>Мантії для суддів</t>
  </si>
  <si>
    <t xml:space="preserve">18110000-3 Формений одяг </t>
  </si>
  <si>
    <t>35820000-8 Допоміжне екіпірування</t>
  </si>
  <si>
    <t>Прапори, герби, флагштоки</t>
  </si>
  <si>
    <t>Кронштейни для кріплення телевізорів</t>
  </si>
  <si>
    <t>32350000-1 Частини до аудіо- та відеообладнання</t>
  </si>
  <si>
    <t>31510000-4 Електричні лампи розжарення</t>
  </si>
  <si>
    <t>Енергозберігаючі лампи</t>
  </si>
  <si>
    <t>Вогнегасники, раструби до вогнегасників</t>
  </si>
  <si>
    <t>35110000-8 Протипожежне, рятувальне та захисне обладнання</t>
  </si>
  <si>
    <t>Візки для прибирання</t>
  </si>
  <si>
    <t>34910000-9 Гужові чи ручні вози, інші транспортні засоби з немеханічним приводом, багажні вози та різні запасні частини</t>
  </si>
  <si>
    <t xml:space="preserve">50530000-9 Послуги з ремонту і технічного обслуговування техніки </t>
  </si>
  <si>
    <t xml:space="preserve">послуги з технічного обслуговування внутрішньої системи електропостачання </t>
  </si>
  <si>
    <t>Багатофункціональні пристрої (БФП)</t>
  </si>
  <si>
    <t>32340000-8 Мікрофони та гучномовці</t>
  </si>
  <si>
    <t>Колонки до ПК</t>
  </si>
  <si>
    <t>Крісла офісні, стільці</t>
  </si>
  <si>
    <t>(довідка №220 20.12.2019)</t>
  </si>
  <si>
    <t>Власні надходження Довідка №3 від 21.12.2019</t>
  </si>
  <si>
    <t>Затверджено рішенням тендерного комітету від 24.12.2019  No93</t>
  </si>
  <si>
    <t>22450000-9 Друкована продукція з елементами захисту</t>
  </si>
  <si>
    <t>Бланки посвідчень</t>
  </si>
  <si>
    <t>31520000-7 Світильники та освітлювальна арматура</t>
  </si>
  <si>
    <t>Лампи настільні, світильник</t>
  </si>
  <si>
    <t>32550000-3 Телефонне обладнання</t>
  </si>
  <si>
    <t>телефон стаціонарний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</si>
</sst>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yyyy"/>
  </numFmts>
  <fonts count="13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8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2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/>
    <xf numFmtId="0" fontId="1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164" fontId="1" fillId="2" borderId="7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10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164" fontId="1" fillId="2" borderId="8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left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164" fontId="1" fillId="2" borderId="13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5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9" fillId="0" borderId="0" xfId="0" applyFont="1"/>
    <xf numFmtId="0" fontId="1" fillId="0" borderId="6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3" borderId="0" xfId="0" applyFont="1" applyFill="1" applyAlignment="1">
      <alignment wrapText="1"/>
    </xf>
    <xf numFmtId="0" fontId="9" fillId="3" borderId="0" xfId="0" applyFont="1" applyFill="1"/>
    <xf numFmtId="0" fontId="1" fillId="0" borderId="0" xfId="0" applyFont="1"/>
    <xf numFmtId="0" fontId="1" fillId="3" borderId="4" xfId="0" applyFont="1" applyFill="1" applyBorder="1" applyAlignment="1">
      <alignment horizontal="left" vertical="center" wrapText="1"/>
    </xf>
    <xf numFmtId="2" fontId="6" fillId="3" borderId="7" xfId="0" applyNumberFormat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wrapText="1"/>
    </xf>
    <xf numFmtId="0" fontId="1" fillId="2" borderId="19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wrapText="1"/>
    </xf>
    <xf numFmtId="0" fontId="1" fillId="0" borderId="5" xfId="0" applyFont="1" applyBorder="1" applyAlignment="1">
      <alignment vertical="center" wrapText="1"/>
    </xf>
    <xf numFmtId="0" fontId="1" fillId="3" borderId="20" xfId="0" applyFont="1" applyFill="1" applyBorder="1" applyAlignment="1">
      <alignment horizontal="left" vertical="center" wrapText="1"/>
    </xf>
    <xf numFmtId="2" fontId="6" fillId="3" borderId="23" xfId="0" applyNumberFormat="1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wrapText="1"/>
    </xf>
    <xf numFmtId="0" fontId="12" fillId="0" borderId="10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/>
    <xf numFmtId="0" fontId="1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4" fontId="1" fillId="0" borderId="1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13"/>
  <sheetViews>
    <sheetView tabSelected="1" view="pageBreakPreview" topLeftCell="A25" zoomScale="57" zoomScaleSheetLayoutView="57" workbookViewId="0">
      <selection activeCell="F26" sqref="F26"/>
    </sheetView>
  </sheetViews>
  <sheetFormatPr defaultColWidth="9.140625" defaultRowHeight="15" x14ac:dyDescent="0.25"/>
  <cols>
    <col min="1" max="1" width="53" style="38" customWidth="1"/>
    <col min="2" max="2" width="65.85546875" style="38" customWidth="1"/>
    <col min="3" max="3" width="25" style="38" customWidth="1"/>
    <col min="4" max="4" width="42.28515625" style="38" customWidth="1"/>
    <col min="5" max="5" width="47.28515625" style="38" customWidth="1"/>
    <col min="6" max="6" width="35.28515625" style="38" customWidth="1"/>
    <col min="7" max="7" width="27" style="38" customWidth="1"/>
    <col min="8" max="16384" width="9.140625" style="38"/>
  </cols>
  <sheetData>
    <row r="1" spans="1:12" ht="25.5" x14ac:dyDescent="0.35">
      <c r="A1" s="68" t="s">
        <v>6</v>
      </c>
      <c r="B1" s="68"/>
      <c r="C1" s="68"/>
      <c r="D1" s="68"/>
      <c r="E1" s="68"/>
      <c r="F1" s="68"/>
      <c r="G1" s="68"/>
    </row>
    <row r="2" spans="1:12" ht="25.5" customHeight="1" x14ac:dyDescent="0.35">
      <c r="A2" s="69" t="s">
        <v>103</v>
      </c>
      <c r="B2" s="69"/>
      <c r="C2" s="69"/>
      <c r="D2" s="69"/>
      <c r="E2" s="69"/>
      <c r="F2" s="69"/>
      <c r="G2" s="69"/>
    </row>
    <row r="3" spans="1:12" ht="25.5" customHeight="1" x14ac:dyDescent="0.35">
      <c r="A3" s="69" t="s">
        <v>64</v>
      </c>
      <c r="B3" s="69"/>
      <c r="C3" s="69"/>
      <c r="D3" s="69"/>
      <c r="E3" s="69"/>
      <c r="F3" s="69"/>
      <c r="G3" s="69"/>
    </row>
    <row r="4" spans="1:12" ht="25.5" customHeight="1" x14ac:dyDescent="0.35">
      <c r="A4" s="69" t="s">
        <v>62</v>
      </c>
      <c r="B4" s="69"/>
      <c r="C4" s="69"/>
      <c r="D4" s="69"/>
      <c r="E4" s="69"/>
      <c r="F4" s="69"/>
      <c r="G4" s="69"/>
    </row>
    <row r="5" spans="1:12" ht="3" customHeight="1" x14ac:dyDescent="0.25"/>
    <row r="6" spans="1:12" ht="98.25" customHeight="1" thickBot="1" x14ac:dyDescent="0.3">
      <c r="A6" s="12" t="s">
        <v>0</v>
      </c>
      <c r="B6" s="2" t="s">
        <v>7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41"/>
      <c r="I6" s="41"/>
      <c r="J6" s="41"/>
      <c r="K6" s="41"/>
      <c r="L6" s="41"/>
    </row>
    <row r="7" spans="1:12" ht="35.25" customHeight="1" x14ac:dyDescent="0.3">
      <c r="A7" s="14" t="s">
        <v>81</v>
      </c>
      <c r="B7" s="1" t="s">
        <v>8</v>
      </c>
      <c r="C7" s="2">
        <v>2210</v>
      </c>
      <c r="D7" s="4">
        <f>103110-5190-5000-22920-40000-183.5</f>
        <v>29816.5</v>
      </c>
      <c r="E7" s="2" t="s">
        <v>59</v>
      </c>
      <c r="F7" s="15">
        <v>43525</v>
      </c>
      <c r="G7" s="16"/>
      <c r="H7" s="37"/>
      <c r="I7" s="37"/>
      <c r="J7" s="37"/>
      <c r="K7" s="37"/>
      <c r="L7" s="37"/>
    </row>
    <row r="8" spans="1:12" ht="41.25" customHeight="1" x14ac:dyDescent="0.3">
      <c r="A8" s="17" t="s">
        <v>164</v>
      </c>
      <c r="B8" s="1" t="s">
        <v>163</v>
      </c>
      <c r="C8" s="2">
        <v>2210</v>
      </c>
      <c r="D8" s="4">
        <v>63</v>
      </c>
      <c r="E8" s="2" t="s">
        <v>90</v>
      </c>
      <c r="F8" s="13">
        <v>43739</v>
      </c>
      <c r="G8" s="18"/>
      <c r="H8" s="37"/>
      <c r="I8" s="37"/>
      <c r="J8" s="37"/>
      <c r="K8" s="37"/>
      <c r="L8" s="37"/>
    </row>
    <row r="9" spans="1:12" ht="41.25" customHeight="1" x14ac:dyDescent="0.3">
      <c r="A9" s="17" t="s">
        <v>178</v>
      </c>
      <c r="B9" s="1" t="s">
        <v>179</v>
      </c>
      <c r="C9" s="2">
        <v>2210</v>
      </c>
      <c r="D9" s="4">
        <f>112000-3352.94-621.88-21480-9900-3219.72-25000-3196-3000-33330.84</f>
        <v>8898.6199999999953</v>
      </c>
      <c r="E9" s="2" t="s">
        <v>59</v>
      </c>
      <c r="F9" s="13">
        <v>43770</v>
      </c>
      <c r="G9" s="18"/>
      <c r="H9" s="37"/>
      <c r="I9" s="37"/>
      <c r="J9" s="37"/>
      <c r="K9" s="37"/>
      <c r="L9" s="37"/>
    </row>
    <row r="10" spans="1:12" ht="41.25" customHeight="1" x14ac:dyDescent="0.3">
      <c r="A10" s="17" t="s">
        <v>82</v>
      </c>
      <c r="B10" s="1" t="s">
        <v>60</v>
      </c>
      <c r="C10" s="2">
        <v>2210</v>
      </c>
      <c r="D10" s="4">
        <f>5400-5400</f>
        <v>0</v>
      </c>
      <c r="E10" s="2" t="s">
        <v>90</v>
      </c>
      <c r="F10" s="13">
        <v>43587</v>
      </c>
      <c r="G10" s="18"/>
      <c r="H10" s="37"/>
      <c r="I10" s="37"/>
      <c r="J10" s="37"/>
      <c r="K10" s="37"/>
      <c r="L10" s="37"/>
    </row>
    <row r="11" spans="1:12" ht="46.5" customHeight="1" x14ac:dyDescent="0.3">
      <c r="A11" s="17" t="s">
        <v>10</v>
      </c>
      <c r="B11" s="1" t="s">
        <v>9</v>
      </c>
      <c r="C11" s="2">
        <v>2210</v>
      </c>
      <c r="D11" s="4">
        <v>2100</v>
      </c>
      <c r="E11" s="2" t="s">
        <v>90</v>
      </c>
      <c r="F11" s="13">
        <v>43617</v>
      </c>
      <c r="G11" s="18"/>
      <c r="H11" s="37"/>
      <c r="I11" s="37"/>
      <c r="J11" s="37"/>
      <c r="K11" s="37"/>
      <c r="L11" s="37"/>
    </row>
    <row r="12" spans="1:12" ht="51" customHeight="1" x14ac:dyDescent="0.3">
      <c r="A12" s="17" t="s">
        <v>12</v>
      </c>
      <c r="B12" s="1" t="s">
        <v>11</v>
      </c>
      <c r="C12" s="2">
        <v>2210</v>
      </c>
      <c r="D12" s="4">
        <v>33927</v>
      </c>
      <c r="E12" s="2" t="s">
        <v>90</v>
      </c>
      <c r="F12" s="13">
        <v>43466</v>
      </c>
      <c r="G12" s="18"/>
      <c r="H12" s="37"/>
      <c r="I12" s="37"/>
      <c r="J12" s="37"/>
      <c r="K12" s="37"/>
      <c r="L12" s="37"/>
    </row>
    <row r="13" spans="1:12" s="6" customFormat="1" ht="51.75" customHeight="1" x14ac:dyDescent="0.3">
      <c r="A13" s="17" t="s">
        <v>200</v>
      </c>
      <c r="B13" s="1" t="s">
        <v>199</v>
      </c>
      <c r="C13" s="2">
        <v>2210</v>
      </c>
      <c r="D13" s="4">
        <v>3000</v>
      </c>
      <c r="E13" s="2" t="s">
        <v>90</v>
      </c>
      <c r="F13" s="13">
        <v>43800</v>
      </c>
      <c r="G13" s="18"/>
      <c r="H13" s="5"/>
      <c r="I13" s="5"/>
      <c r="J13" s="5"/>
      <c r="K13" s="5"/>
      <c r="L13" s="5"/>
    </row>
    <row r="14" spans="1:12" ht="32.25" customHeight="1" x14ac:dyDescent="0.3">
      <c r="A14" s="17" t="s">
        <v>173</v>
      </c>
      <c r="B14" s="1" t="s">
        <v>172</v>
      </c>
      <c r="C14" s="2">
        <v>2210</v>
      </c>
      <c r="D14" s="4">
        <v>440.4</v>
      </c>
      <c r="E14" s="2" t="s">
        <v>90</v>
      </c>
      <c r="F14" s="13">
        <v>43770</v>
      </c>
      <c r="G14" s="18"/>
      <c r="H14" s="37"/>
      <c r="I14" s="37"/>
      <c r="J14" s="37"/>
      <c r="K14" s="37"/>
      <c r="L14" s="37"/>
    </row>
    <row r="15" spans="1:12" ht="46.5" customHeight="1" x14ac:dyDescent="0.3">
      <c r="A15" s="17" t="s">
        <v>83</v>
      </c>
      <c r="B15" s="1" t="s">
        <v>160</v>
      </c>
      <c r="C15" s="2">
        <v>2210</v>
      </c>
      <c r="D15" s="4">
        <f>3000+5000-1818.5</f>
        <v>6181.5</v>
      </c>
      <c r="E15" s="2" t="s">
        <v>90</v>
      </c>
      <c r="F15" s="13">
        <v>43497</v>
      </c>
      <c r="G15" s="18"/>
      <c r="H15" s="37"/>
      <c r="I15" s="37"/>
      <c r="J15" s="37"/>
      <c r="K15" s="37"/>
      <c r="L15" s="37"/>
    </row>
    <row r="16" spans="1:12" ht="46.5" customHeight="1" x14ac:dyDescent="0.3">
      <c r="A16" s="17" t="s">
        <v>156</v>
      </c>
      <c r="B16" s="1" t="s">
        <v>157</v>
      </c>
      <c r="C16" s="2">
        <v>2210</v>
      </c>
      <c r="D16" s="4">
        <f>31900-3300-5000-7000-1240</f>
        <v>15360</v>
      </c>
      <c r="E16" s="2" t="s">
        <v>90</v>
      </c>
      <c r="F16" s="13">
        <v>43709</v>
      </c>
      <c r="G16" s="18"/>
      <c r="H16" s="37"/>
      <c r="I16" s="37"/>
      <c r="J16" s="37"/>
      <c r="K16" s="37"/>
      <c r="L16" s="37"/>
    </row>
    <row r="17" spans="1:12" ht="39" customHeight="1" x14ac:dyDescent="0.3">
      <c r="A17" s="17" t="s">
        <v>167</v>
      </c>
      <c r="B17" s="1" t="s">
        <v>168</v>
      </c>
      <c r="C17" s="2">
        <v>2210</v>
      </c>
      <c r="D17" s="4">
        <f>2000-921.8</f>
        <v>1078.2</v>
      </c>
      <c r="E17" s="2" t="s">
        <v>90</v>
      </c>
      <c r="F17" s="13">
        <v>43586</v>
      </c>
      <c r="G17" s="18"/>
      <c r="H17" s="37"/>
      <c r="I17" s="37"/>
      <c r="J17" s="37"/>
      <c r="K17" s="37"/>
      <c r="L17" s="37"/>
    </row>
    <row r="18" spans="1:12" ht="47.25" customHeight="1" x14ac:dyDescent="0.3">
      <c r="A18" s="17" t="s">
        <v>13</v>
      </c>
      <c r="B18" s="1" t="s">
        <v>14</v>
      </c>
      <c r="C18" s="2">
        <v>2210</v>
      </c>
      <c r="D18" s="4">
        <f>21500-21500</f>
        <v>0</v>
      </c>
      <c r="E18" s="2" t="s">
        <v>90</v>
      </c>
      <c r="F18" s="13">
        <v>43709</v>
      </c>
      <c r="G18" s="18"/>
      <c r="H18" s="37"/>
      <c r="I18" s="37"/>
      <c r="J18" s="37"/>
      <c r="K18" s="37"/>
      <c r="L18" s="37"/>
    </row>
    <row r="19" spans="1:12" ht="73.5" customHeight="1" x14ac:dyDescent="0.3">
      <c r="A19" s="17" t="s">
        <v>174</v>
      </c>
      <c r="B19" s="1" t="s">
        <v>15</v>
      </c>
      <c r="C19" s="2">
        <v>2210</v>
      </c>
      <c r="D19" s="4">
        <f>139817-6018+1240+1818.5+3783.6+921.8+2438+5036.6+24000+20000</f>
        <v>193037.5</v>
      </c>
      <c r="E19" s="2" t="s">
        <v>59</v>
      </c>
      <c r="F19" s="13">
        <v>43497</v>
      </c>
      <c r="G19" s="18"/>
      <c r="H19" s="37"/>
      <c r="I19" s="37"/>
      <c r="J19" s="37"/>
      <c r="K19" s="37"/>
      <c r="L19" s="37"/>
    </row>
    <row r="20" spans="1:12" ht="43.5" customHeight="1" x14ac:dyDescent="0.3">
      <c r="A20" s="17" t="s">
        <v>135</v>
      </c>
      <c r="B20" s="1" t="s">
        <v>15</v>
      </c>
      <c r="C20" s="2">
        <v>2210</v>
      </c>
      <c r="D20" s="4">
        <v>427.2</v>
      </c>
      <c r="E20" s="2" t="s">
        <v>59</v>
      </c>
      <c r="F20" s="13">
        <v>43556</v>
      </c>
      <c r="G20" s="18" t="s">
        <v>136</v>
      </c>
      <c r="H20" s="37"/>
      <c r="I20" s="37"/>
      <c r="J20" s="37"/>
      <c r="K20" s="37"/>
      <c r="L20" s="37"/>
    </row>
    <row r="21" spans="1:12" ht="69.599999999999994" customHeight="1" x14ac:dyDescent="0.3">
      <c r="A21" s="17" t="s">
        <v>135</v>
      </c>
      <c r="B21" s="1" t="s">
        <v>15</v>
      </c>
      <c r="C21" s="2">
        <v>2210</v>
      </c>
      <c r="D21" s="4">
        <v>1657.2</v>
      </c>
      <c r="E21" s="2" t="s">
        <v>59</v>
      </c>
      <c r="F21" s="13">
        <v>43770</v>
      </c>
      <c r="G21" s="18" t="s">
        <v>177</v>
      </c>
      <c r="H21" s="37"/>
      <c r="I21" s="37"/>
      <c r="J21" s="37"/>
      <c r="K21" s="37"/>
      <c r="L21" s="37"/>
    </row>
    <row r="22" spans="1:12" s="6" customFormat="1" ht="69.599999999999994" customHeight="1" x14ac:dyDescent="0.3">
      <c r="A22" s="17" t="s">
        <v>135</v>
      </c>
      <c r="B22" s="1" t="s">
        <v>15</v>
      </c>
      <c r="C22" s="2">
        <v>2210</v>
      </c>
      <c r="D22" s="4">
        <v>360.66</v>
      </c>
      <c r="E22" s="2" t="s">
        <v>59</v>
      </c>
      <c r="F22" s="13">
        <v>43800</v>
      </c>
      <c r="G22" s="18" t="s">
        <v>197</v>
      </c>
      <c r="H22" s="5"/>
      <c r="I22" s="5"/>
      <c r="J22" s="5"/>
      <c r="K22" s="5"/>
      <c r="L22" s="5"/>
    </row>
    <row r="23" spans="1:12" ht="46.5" customHeight="1" x14ac:dyDescent="0.3">
      <c r="A23" s="17" t="s">
        <v>84</v>
      </c>
      <c r="B23" s="1" t="s">
        <v>16</v>
      </c>
      <c r="C23" s="2">
        <v>2210</v>
      </c>
      <c r="D23" s="4">
        <f>127046-17935-6000-3600-2441-10700-40000-564-12000+7000</f>
        <v>40806</v>
      </c>
      <c r="E23" s="2" t="s">
        <v>59</v>
      </c>
      <c r="F23" s="13">
        <v>43497</v>
      </c>
      <c r="G23" s="18"/>
      <c r="H23" s="37"/>
      <c r="I23" s="37"/>
      <c r="J23" s="37"/>
      <c r="K23" s="37"/>
      <c r="L23" s="37"/>
    </row>
    <row r="24" spans="1:12" ht="40.5" customHeight="1" x14ac:dyDescent="0.3">
      <c r="A24" s="17" t="s">
        <v>85</v>
      </c>
      <c r="B24" s="19" t="s">
        <v>80</v>
      </c>
      <c r="C24" s="2">
        <v>2210</v>
      </c>
      <c r="D24" s="4">
        <f>13700-894-808</f>
        <v>11998</v>
      </c>
      <c r="E24" s="2" t="s">
        <v>90</v>
      </c>
      <c r="F24" s="13">
        <v>43678</v>
      </c>
      <c r="G24" s="18"/>
      <c r="H24" s="37"/>
      <c r="I24" s="37"/>
      <c r="J24" s="37"/>
      <c r="K24" s="37"/>
      <c r="L24" s="37"/>
    </row>
    <row r="25" spans="1:12" s="6" customFormat="1" ht="40.5" customHeight="1" x14ac:dyDescent="0.3">
      <c r="A25" s="17" t="s">
        <v>85</v>
      </c>
      <c r="B25" s="19" t="s">
        <v>80</v>
      </c>
      <c r="C25" s="2">
        <v>2210</v>
      </c>
      <c r="D25" s="4">
        <f>179992+808</f>
        <v>180800</v>
      </c>
      <c r="E25" s="2" t="s">
        <v>59</v>
      </c>
      <c r="F25" s="13">
        <v>43800</v>
      </c>
      <c r="G25" s="18" t="s">
        <v>196</v>
      </c>
      <c r="H25" s="5"/>
      <c r="I25" s="5"/>
      <c r="J25" s="5"/>
      <c r="K25" s="5"/>
      <c r="L25" s="5"/>
    </row>
    <row r="26" spans="1:12" ht="41.25" customHeight="1" x14ac:dyDescent="0.3">
      <c r="A26" s="17" t="s">
        <v>18</v>
      </c>
      <c r="B26" s="1" t="s">
        <v>17</v>
      </c>
      <c r="C26" s="2">
        <v>2210</v>
      </c>
      <c r="D26" s="4">
        <v>1600</v>
      </c>
      <c r="E26" s="2" t="s">
        <v>90</v>
      </c>
      <c r="F26" s="13">
        <v>43770</v>
      </c>
      <c r="G26" s="18"/>
      <c r="H26" s="37"/>
      <c r="I26" s="37"/>
      <c r="J26" s="37"/>
      <c r="K26" s="37"/>
      <c r="L26" s="37"/>
    </row>
    <row r="27" spans="1:12" ht="41.25" customHeight="1" x14ac:dyDescent="0.3">
      <c r="A27" s="17" t="s">
        <v>185</v>
      </c>
      <c r="B27" s="1" t="s">
        <v>184</v>
      </c>
      <c r="C27" s="2">
        <v>2210</v>
      </c>
      <c r="D27" s="4">
        <f>621.88+560.12</f>
        <v>1182</v>
      </c>
      <c r="E27" s="2" t="s">
        <v>90</v>
      </c>
      <c r="F27" s="13">
        <v>43800</v>
      </c>
      <c r="G27" s="18"/>
      <c r="H27" s="37"/>
      <c r="I27" s="37"/>
      <c r="J27" s="37"/>
      <c r="K27" s="37"/>
      <c r="L27" s="37"/>
    </row>
    <row r="28" spans="1:12" s="6" customFormat="1" ht="41.25" customHeight="1" x14ac:dyDescent="0.3">
      <c r="A28" s="17" t="s">
        <v>202</v>
      </c>
      <c r="B28" s="1" t="s">
        <v>201</v>
      </c>
      <c r="C28" s="2">
        <v>2210</v>
      </c>
      <c r="D28" s="4">
        <f>6497.04+24598.8</f>
        <v>31095.84</v>
      </c>
      <c r="E28" s="2" t="s">
        <v>90</v>
      </c>
      <c r="F28" s="13">
        <v>43800</v>
      </c>
      <c r="G28" s="18"/>
      <c r="H28" s="5"/>
      <c r="I28" s="5"/>
      <c r="J28" s="5"/>
      <c r="K28" s="5"/>
      <c r="L28" s="5"/>
    </row>
    <row r="29" spans="1:12" ht="42.75" customHeight="1" x14ac:dyDescent="0.3">
      <c r="A29" s="17" t="s">
        <v>129</v>
      </c>
      <c r="B29" s="1" t="s">
        <v>130</v>
      </c>
      <c r="C29" s="2">
        <v>2210</v>
      </c>
      <c r="D29" s="4">
        <v>5190</v>
      </c>
      <c r="E29" s="2" t="s">
        <v>90</v>
      </c>
      <c r="F29" s="13">
        <v>43525</v>
      </c>
      <c r="G29" s="18"/>
      <c r="H29" s="37"/>
      <c r="I29" s="37"/>
      <c r="J29" s="37"/>
      <c r="K29" s="37"/>
      <c r="L29" s="37"/>
    </row>
    <row r="30" spans="1:12" s="6" customFormat="1" ht="42.75" customHeight="1" x14ac:dyDescent="0.3">
      <c r="A30" s="17" t="s">
        <v>194</v>
      </c>
      <c r="B30" s="1" t="s">
        <v>193</v>
      </c>
      <c r="C30" s="2">
        <v>2210</v>
      </c>
      <c r="D30" s="4">
        <v>3196</v>
      </c>
      <c r="E30" s="2" t="s">
        <v>90</v>
      </c>
      <c r="F30" s="13">
        <v>43800</v>
      </c>
      <c r="G30" s="18"/>
      <c r="H30" s="5"/>
      <c r="I30" s="5"/>
      <c r="J30" s="5"/>
      <c r="K30" s="5"/>
      <c r="L30" s="5"/>
    </row>
    <row r="31" spans="1:12" ht="42.75" customHeight="1" x14ac:dyDescent="0.3">
      <c r="A31" s="17" t="s">
        <v>182</v>
      </c>
      <c r="B31" s="1" t="s">
        <v>183</v>
      </c>
      <c r="C31" s="2">
        <v>2210</v>
      </c>
      <c r="D31" s="4">
        <v>894</v>
      </c>
      <c r="E31" s="2" t="s">
        <v>90</v>
      </c>
      <c r="F31" s="13">
        <v>43800</v>
      </c>
      <c r="G31" s="18"/>
      <c r="H31" s="37"/>
      <c r="I31" s="37"/>
      <c r="J31" s="37"/>
      <c r="K31" s="37"/>
      <c r="L31" s="37"/>
    </row>
    <row r="32" spans="1:12" s="6" customFormat="1" ht="44.25" customHeight="1" x14ac:dyDescent="0.3">
      <c r="A32" s="17" t="s">
        <v>204</v>
      </c>
      <c r="B32" s="1" t="s">
        <v>203</v>
      </c>
      <c r="C32" s="2">
        <v>2210</v>
      </c>
      <c r="D32" s="4">
        <v>1899</v>
      </c>
      <c r="E32" s="2" t="s">
        <v>90</v>
      </c>
      <c r="F32" s="13">
        <v>43800</v>
      </c>
      <c r="G32" s="18"/>
      <c r="H32" s="5"/>
      <c r="I32" s="5"/>
      <c r="J32" s="5"/>
      <c r="K32" s="5"/>
      <c r="L32" s="5"/>
    </row>
    <row r="33" spans="1:12" ht="44.25" customHeight="1" x14ac:dyDescent="0.3">
      <c r="A33" s="17" t="s">
        <v>19</v>
      </c>
      <c r="B33" s="1" t="s">
        <v>20</v>
      </c>
      <c r="C33" s="2">
        <v>2210</v>
      </c>
      <c r="D33" s="4">
        <f>3100-2438</f>
        <v>662</v>
      </c>
      <c r="E33" s="2" t="s">
        <v>90</v>
      </c>
      <c r="F33" s="13">
        <v>43525</v>
      </c>
      <c r="G33" s="18"/>
      <c r="H33" s="37"/>
      <c r="I33" s="37"/>
      <c r="J33" s="37"/>
      <c r="K33" s="37"/>
      <c r="L33" s="37"/>
    </row>
    <row r="34" spans="1:12" ht="44.25" customHeight="1" x14ac:dyDescent="0.3">
      <c r="A34" s="17" t="s">
        <v>143</v>
      </c>
      <c r="B34" s="1" t="s">
        <v>142</v>
      </c>
      <c r="C34" s="2">
        <v>2210</v>
      </c>
      <c r="D34" s="4">
        <v>2000</v>
      </c>
      <c r="E34" s="2" t="s">
        <v>90</v>
      </c>
      <c r="F34" s="13">
        <v>43647</v>
      </c>
      <c r="G34" s="18"/>
      <c r="H34" s="37"/>
      <c r="I34" s="37"/>
      <c r="J34" s="37"/>
      <c r="K34" s="37"/>
      <c r="L34" s="37"/>
    </row>
    <row r="35" spans="1:12" ht="45.75" customHeight="1" x14ac:dyDescent="0.3">
      <c r="A35" s="17" t="s">
        <v>120</v>
      </c>
      <c r="B35" s="1" t="s">
        <v>21</v>
      </c>
      <c r="C35" s="2">
        <v>2210</v>
      </c>
      <c r="D35" s="4">
        <f>6300+5000+3600+5878+1000</f>
        <v>21778</v>
      </c>
      <c r="E35" s="2" t="s">
        <v>90</v>
      </c>
      <c r="F35" s="13">
        <v>43497</v>
      </c>
      <c r="G35" s="18"/>
      <c r="H35" s="37"/>
      <c r="I35" s="37"/>
      <c r="J35" s="37"/>
      <c r="K35" s="37"/>
      <c r="L35" s="37"/>
    </row>
    <row r="36" spans="1:12" ht="66.75" customHeight="1" x14ac:dyDescent="0.3">
      <c r="A36" s="17" t="s">
        <v>86</v>
      </c>
      <c r="B36" s="1" t="s">
        <v>33</v>
      </c>
      <c r="C36" s="2">
        <v>2210</v>
      </c>
      <c r="D36" s="4">
        <f>10000-5000-5000</f>
        <v>0</v>
      </c>
      <c r="E36" s="2" t="s">
        <v>90</v>
      </c>
      <c r="F36" s="13">
        <v>43556</v>
      </c>
      <c r="G36" s="18"/>
      <c r="H36" s="37"/>
      <c r="I36" s="37"/>
      <c r="J36" s="37"/>
      <c r="K36" s="37"/>
      <c r="L36" s="37"/>
    </row>
    <row r="37" spans="1:12" ht="38.25" customHeight="1" x14ac:dyDescent="0.3">
      <c r="A37" s="60" t="s">
        <v>139</v>
      </c>
      <c r="B37" s="61" t="s">
        <v>140</v>
      </c>
      <c r="C37" s="2">
        <v>2210</v>
      </c>
      <c r="D37" s="4">
        <f>5000+6000</f>
        <v>11000</v>
      </c>
      <c r="E37" s="2" t="s">
        <v>90</v>
      </c>
      <c r="F37" s="13">
        <v>43617</v>
      </c>
      <c r="G37" s="18"/>
      <c r="H37" s="37"/>
      <c r="I37" s="37"/>
      <c r="J37" s="37"/>
      <c r="K37" s="37"/>
      <c r="L37" s="37"/>
    </row>
    <row r="38" spans="1:12" ht="48.75" customHeight="1" x14ac:dyDescent="0.3">
      <c r="A38" s="60" t="s">
        <v>188</v>
      </c>
      <c r="B38" s="61" t="s">
        <v>189</v>
      </c>
      <c r="C38" s="2">
        <v>2210</v>
      </c>
      <c r="D38" s="4">
        <v>9900</v>
      </c>
      <c r="E38" s="2" t="s">
        <v>90</v>
      </c>
      <c r="F38" s="13">
        <v>43800</v>
      </c>
      <c r="G38" s="18"/>
      <c r="H38" s="37"/>
      <c r="I38" s="37"/>
      <c r="J38" s="37"/>
      <c r="K38" s="37"/>
      <c r="L38" s="37"/>
    </row>
    <row r="39" spans="1:12" ht="38.25" customHeight="1" x14ac:dyDescent="0.3">
      <c r="A39" s="60" t="s">
        <v>186</v>
      </c>
      <c r="B39" s="61" t="s">
        <v>187</v>
      </c>
      <c r="C39" s="2">
        <v>2210</v>
      </c>
      <c r="D39" s="4">
        <v>21480</v>
      </c>
      <c r="E39" s="2" t="s">
        <v>90</v>
      </c>
      <c r="F39" s="13">
        <v>43800</v>
      </c>
      <c r="G39" s="18"/>
      <c r="H39" s="37"/>
      <c r="I39" s="37"/>
      <c r="J39" s="37"/>
      <c r="K39" s="37"/>
      <c r="L39" s="37"/>
    </row>
    <row r="40" spans="1:12" ht="38.25" customHeight="1" x14ac:dyDescent="0.3">
      <c r="A40" s="60" t="s">
        <v>181</v>
      </c>
      <c r="B40" s="61" t="s">
        <v>180</v>
      </c>
      <c r="C40" s="2">
        <v>2210</v>
      </c>
      <c r="D40" s="4">
        <v>41250</v>
      </c>
      <c r="E40" s="2" t="s">
        <v>90</v>
      </c>
      <c r="F40" s="13">
        <v>43770</v>
      </c>
      <c r="G40" s="18"/>
      <c r="H40" s="37"/>
      <c r="I40" s="37"/>
      <c r="J40" s="37"/>
      <c r="K40" s="37"/>
      <c r="L40" s="37"/>
    </row>
    <row r="41" spans="1:12" ht="38.25" customHeight="1" x14ac:dyDescent="0.3">
      <c r="A41" s="17" t="s">
        <v>144</v>
      </c>
      <c r="B41" s="1" t="s">
        <v>145</v>
      </c>
      <c r="C41" s="2">
        <v>2210</v>
      </c>
      <c r="D41" s="4">
        <f>11208+6018+25000</f>
        <v>42226</v>
      </c>
      <c r="E41" s="2" t="s">
        <v>59</v>
      </c>
      <c r="F41" s="13">
        <v>43647</v>
      </c>
      <c r="G41" s="18"/>
      <c r="H41" s="37"/>
      <c r="I41" s="37"/>
      <c r="J41" s="37"/>
      <c r="K41" s="37"/>
      <c r="L41" s="37"/>
    </row>
    <row r="42" spans="1:12" s="6" customFormat="1" ht="38.25" customHeight="1" x14ac:dyDescent="0.3">
      <c r="A42" s="17" t="s">
        <v>195</v>
      </c>
      <c r="B42" s="1" t="s">
        <v>145</v>
      </c>
      <c r="C42" s="2">
        <v>2210</v>
      </c>
      <c r="D42" s="4">
        <v>99068.64</v>
      </c>
      <c r="E42" s="2" t="s">
        <v>59</v>
      </c>
      <c r="F42" s="13">
        <v>43800</v>
      </c>
      <c r="G42" s="18" t="s">
        <v>196</v>
      </c>
      <c r="H42" s="5"/>
      <c r="I42" s="5"/>
      <c r="J42" s="5"/>
      <c r="K42" s="5"/>
      <c r="L42" s="5"/>
    </row>
    <row r="43" spans="1:12" ht="38.25" customHeight="1" x14ac:dyDescent="0.3">
      <c r="A43" s="17" t="s">
        <v>166</v>
      </c>
      <c r="B43" s="1" t="s">
        <v>165</v>
      </c>
      <c r="C43" s="2">
        <v>2210</v>
      </c>
      <c r="D43" s="4">
        <f>400+3219.72</f>
        <v>3619.72</v>
      </c>
      <c r="E43" s="2" t="s">
        <v>90</v>
      </c>
      <c r="F43" s="13">
        <v>43739</v>
      </c>
      <c r="G43" s="18"/>
      <c r="H43" s="37"/>
      <c r="I43" s="37"/>
      <c r="J43" s="37"/>
      <c r="K43" s="37"/>
      <c r="L43" s="37"/>
    </row>
    <row r="44" spans="1:12" ht="38.25" customHeight="1" x14ac:dyDescent="0.3">
      <c r="A44" s="17" t="s">
        <v>87</v>
      </c>
      <c r="B44" s="1" t="s">
        <v>22</v>
      </c>
      <c r="C44" s="2">
        <v>2210</v>
      </c>
      <c r="D44" s="4">
        <f>1000-489.7</f>
        <v>510.3</v>
      </c>
      <c r="E44" s="2" t="s">
        <v>90</v>
      </c>
      <c r="F44" s="13">
        <v>43557</v>
      </c>
      <c r="G44" s="18"/>
      <c r="H44" s="37"/>
      <c r="I44" s="37"/>
      <c r="J44" s="37"/>
      <c r="K44" s="37"/>
      <c r="L44" s="37"/>
    </row>
    <row r="45" spans="1:12" ht="40.5" customHeight="1" x14ac:dyDescent="0.3">
      <c r="A45" s="17" t="s">
        <v>159</v>
      </c>
      <c r="B45" s="1" t="s">
        <v>158</v>
      </c>
      <c r="C45" s="2">
        <v>2210</v>
      </c>
      <c r="D45" s="4">
        <f>564+336</f>
        <v>900</v>
      </c>
      <c r="E45" s="2" t="s">
        <v>90</v>
      </c>
      <c r="F45" s="13">
        <v>43739</v>
      </c>
      <c r="G45" s="58"/>
      <c r="H45" s="37"/>
      <c r="I45" s="37"/>
      <c r="J45" s="37"/>
      <c r="K45" s="37"/>
      <c r="L45" s="37"/>
    </row>
    <row r="46" spans="1:12" ht="40.5" customHeight="1" x14ac:dyDescent="0.3">
      <c r="A46" s="17" t="s">
        <v>132</v>
      </c>
      <c r="B46" s="1" t="s">
        <v>131</v>
      </c>
      <c r="C46" s="2">
        <v>2210</v>
      </c>
      <c r="D46" s="4">
        <f>22920+17935+2441</f>
        <v>43296</v>
      </c>
      <c r="E46" s="2" t="s">
        <v>90</v>
      </c>
      <c r="F46" s="13">
        <v>43558</v>
      </c>
      <c r="G46" s="18"/>
      <c r="H46" s="37"/>
      <c r="I46" s="37"/>
      <c r="J46" s="37"/>
      <c r="K46" s="37"/>
      <c r="L46" s="37"/>
    </row>
    <row r="47" spans="1:12" ht="37.5" x14ac:dyDescent="0.3">
      <c r="A47" s="17" t="s">
        <v>88</v>
      </c>
      <c r="B47" s="1" t="s">
        <v>23</v>
      </c>
      <c r="C47" s="2">
        <v>2210</v>
      </c>
      <c r="D47" s="4">
        <f>1100+415.9</f>
        <v>1515.9</v>
      </c>
      <c r="E47" s="2" t="s">
        <v>90</v>
      </c>
      <c r="F47" s="13">
        <v>43558</v>
      </c>
      <c r="G47" s="18"/>
      <c r="H47" s="37"/>
      <c r="I47" s="37"/>
      <c r="J47" s="37"/>
      <c r="K47" s="37"/>
      <c r="L47" s="37"/>
    </row>
    <row r="48" spans="1:12" ht="38.25" customHeight="1" x14ac:dyDescent="0.3">
      <c r="A48" s="17" t="s">
        <v>25</v>
      </c>
      <c r="B48" s="1" t="s">
        <v>24</v>
      </c>
      <c r="C48" s="2">
        <v>2210</v>
      </c>
      <c r="D48" s="4">
        <f>2400+5400+3300+3352.94</f>
        <v>14452.94</v>
      </c>
      <c r="E48" s="2" t="s">
        <v>90</v>
      </c>
      <c r="F48" s="13">
        <v>43559</v>
      </c>
      <c r="G48" s="18"/>
      <c r="H48" s="37"/>
      <c r="I48" s="37"/>
      <c r="J48" s="37"/>
      <c r="K48" s="37"/>
      <c r="L48" s="37"/>
    </row>
    <row r="49" spans="1:12" ht="35.25" customHeight="1" x14ac:dyDescent="0.3">
      <c r="A49" s="17" t="s">
        <v>134</v>
      </c>
      <c r="B49" s="1" t="s">
        <v>133</v>
      </c>
      <c r="C49" s="2">
        <v>2210</v>
      </c>
      <c r="D49" s="3">
        <f>5000+12000+183.5+489.7</f>
        <v>17673.2</v>
      </c>
      <c r="E49" s="2" t="s">
        <v>90</v>
      </c>
      <c r="F49" s="13">
        <v>43525</v>
      </c>
      <c r="G49" s="18"/>
      <c r="H49" s="37"/>
      <c r="I49" s="37"/>
      <c r="J49" s="37"/>
      <c r="K49" s="37"/>
      <c r="L49" s="37"/>
    </row>
    <row r="50" spans="1:12" ht="45.75" customHeight="1" x14ac:dyDescent="0.3">
      <c r="A50" s="17" t="s">
        <v>27</v>
      </c>
      <c r="B50" s="1" t="s">
        <v>26</v>
      </c>
      <c r="C50" s="2">
        <v>2210</v>
      </c>
      <c r="D50" s="3">
        <f>1100+625</f>
        <v>1725</v>
      </c>
      <c r="E50" s="2" t="s">
        <v>90</v>
      </c>
      <c r="F50" s="13">
        <v>43560</v>
      </c>
      <c r="G50" s="18"/>
      <c r="H50" s="37"/>
      <c r="I50" s="37"/>
      <c r="J50" s="37"/>
      <c r="K50" s="37"/>
      <c r="L50" s="37"/>
    </row>
    <row r="51" spans="1:12" ht="37.5" customHeight="1" x14ac:dyDescent="0.3">
      <c r="A51" s="17" t="s">
        <v>29</v>
      </c>
      <c r="B51" s="1" t="s">
        <v>28</v>
      </c>
      <c r="C51" s="2">
        <v>2210</v>
      </c>
      <c r="D51" s="3">
        <f>14000-2000-508-63-1000-400-415.9-625-5036.6</f>
        <v>3951.5</v>
      </c>
      <c r="E51" s="2" t="s">
        <v>90</v>
      </c>
      <c r="F51" s="13">
        <v>43561</v>
      </c>
      <c r="G51" s="18"/>
      <c r="H51" s="37"/>
      <c r="I51" s="37"/>
      <c r="J51" s="37"/>
      <c r="K51" s="37"/>
      <c r="L51" s="37"/>
    </row>
    <row r="52" spans="1:12" ht="37.5" x14ac:dyDescent="0.3">
      <c r="A52" s="20" t="s">
        <v>89</v>
      </c>
      <c r="B52" s="1" t="s">
        <v>30</v>
      </c>
      <c r="C52" s="2">
        <v>2210</v>
      </c>
      <c r="D52" s="3">
        <f>10000-2580-5878-560.12</f>
        <v>981.88</v>
      </c>
      <c r="E52" s="2" t="s">
        <v>90</v>
      </c>
      <c r="F52" s="21">
        <v>43678</v>
      </c>
      <c r="G52" s="22"/>
      <c r="H52" s="37"/>
      <c r="I52" s="37"/>
      <c r="J52" s="37"/>
      <c r="K52" s="37"/>
      <c r="L52" s="37"/>
    </row>
    <row r="53" spans="1:12" ht="37.5" x14ac:dyDescent="0.3">
      <c r="A53" s="20" t="s">
        <v>147</v>
      </c>
      <c r="B53" s="1" t="s">
        <v>146</v>
      </c>
      <c r="C53" s="2">
        <v>2210</v>
      </c>
      <c r="D53" s="3">
        <v>2580</v>
      </c>
      <c r="E53" s="2" t="s">
        <v>90</v>
      </c>
      <c r="F53" s="21">
        <v>43678</v>
      </c>
      <c r="G53" s="22"/>
      <c r="H53" s="37"/>
      <c r="I53" s="37"/>
      <c r="J53" s="37"/>
      <c r="K53" s="37"/>
      <c r="L53" s="37"/>
    </row>
    <row r="54" spans="1:12" s="43" customFormat="1" ht="22.5" x14ac:dyDescent="0.3">
      <c r="A54" s="8"/>
      <c r="B54" s="65" t="s">
        <v>72</v>
      </c>
      <c r="C54" s="66"/>
      <c r="D54" s="9">
        <f>SUM(D7:D53)</f>
        <v>915579.7</v>
      </c>
      <c r="E54" s="10"/>
      <c r="F54" s="10"/>
      <c r="G54" s="11"/>
      <c r="H54" s="42"/>
      <c r="I54" s="42"/>
      <c r="J54" s="42"/>
      <c r="K54" s="42"/>
      <c r="L54" s="42"/>
    </row>
    <row r="55" spans="1:12" ht="45.75" customHeight="1" x14ac:dyDescent="0.3">
      <c r="A55" s="23" t="s">
        <v>111</v>
      </c>
      <c r="B55" s="1" t="s">
        <v>110</v>
      </c>
      <c r="C55" s="2">
        <v>2240</v>
      </c>
      <c r="D55" s="24">
        <f>15296.27+385.63-2114.47-348.62-1480-1800</f>
        <v>9938.81</v>
      </c>
      <c r="E55" s="25" t="s">
        <v>90</v>
      </c>
      <c r="F55" s="26">
        <v>43497</v>
      </c>
      <c r="G55" s="27"/>
      <c r="H55" s="37"/>
      <c r="I55" s="37"/>
      <c r="J55" s="37"/>
      <c r="K55" s="37"/>
      <c r="L55" s="37"/>
    </row>
    <row r="56" spans="1:12" ht="47.25" customHeight="1" x14ac:dyDescent="0.3">
      <c r="A56" s="23" t="s">
        <v>152</v>
      </c>
      <c r="B56" s="1" t="s">
        <v>36</v>
      </c>
      <c r="C56" s="2">
        <v>2240</v>
      </c>
      <c r="D56" s="24">
        <f>14600-2200+5000-8000+1480+67.01+532.99</f>
        <v>11480</v>
      </c>
      <c r="E56" s="25" t="s">
        <v>90</v>
      </c>
      <c r="F56" s="26">
        <v>43586</v>
      </c>
      <c r="G56" s="27"/>
      <c r="H56" s="37"/>
      <c r="I56" s="37"/>
      <c r="J56" s="37"/>
      <c r="K56" s="37"/>
      <c r="L56" s="37"/>
    </row>
    <row r="57" spans="1:12" ht="47.25" customHeight="1" x14ac:dyDescent="0.3">
      <c r="A57" s="23" t="s">
        <v>151</v>
      </c>
      <c r="B57" s="1" t="s">
        <v>150</v>
      </c>
      <c r="C57" s="2">
        <v>2240</v>
      </c>
      <c r="D57" s="24">
        <v>1165</v>
      </c>
      <c r="E57" s="25" t="s">
        <v>90</v>
      </c>
      <c r="F57" s="26">
        <v>43678</v>
      </c>
      <c r="G57" s="27"/>
      <c r="H57" s="37"/>
      <c r="I57" s="37"/>
      <c r="J57" s="37"/>
      <c r="K57" s="37"/>
      <c r="L57" s="37"/>
    </row>
    <row r="58" spans="1:12" ht="56.25" x14ac:dyDescent="0.3">
      <c r="A58" s="28" t="s">
        <v>91</v>
      </c>
      <c r="B58" s="1" t="s">
        <v>65</v>
      </c>
      <c r="C58" s="2">
        <v>2240</v>
      </c>
      <c r="D58" s="59">
        <f>15000-3000-1087-1558</f>
        <v>9355</v>
      </c>
      <c r="E58" s="1" t="s">
        <v>90</v>
      </c>
      <c r="F58" s="13">
        <v>43466</v>
      </c>
      <c r="G58" s="30"/>
      <c r="H58" s="37"/>
      <c r="I58" s="37"/>
      <c r="J58" s="37"/>
      <c r="K58" s="37"/>
      <c r="L58" s="37"/>
    </row>
    <row r="59" spans="1:12" ht="37.5" x14ac:dyDescent="0.3">
      <c r="A59" s="28" t="s">
        <v>92</v>
      </c>
      <c r="B59" s="1" t="s">
        <v>100</v>
      </c>
      <c r="C59" s="2">
        <v>2240</v>
      </c>
      <c r="D59" s="29">
        <f>35000-11000+137800-137800</f>
        <v>24000</v>
      </c>
      <c r="E59" s="1" t="s">
        <v>59</v>
      </c>
      <c r="F59" s="13">
        <v>43770</v>
      </c>
      <c r="G59" s="30"/>
      <c r="H59" s="37"/>
      <c r="I59" s="37"/>
      <c r="J59" s="37"/>
      <c r="K59" s="37"/>
      <c r="L59" s="37"/>
    </row>
    <row r="60" spans="1:12" ht="56.25" x14ac:dyDescent="0.3">
      <c r="A60" s="28" t="s">
        <v>42</v>
      </c>
      <c r="B60" s="1" t="s">
        <v>41</v>
      </c>
      <c r="C60" s="2">
        <v>2240</v>
      </c>
      <c r="D60" s="29">
        <f>17500-257</f>
        <v>17243</v>
      </c>
      <c r="E60" s="1" t="s">
        <v>90</v>
      </c>
      <c r="F60" s="13">
        <v>43771</v>
      </c>
      <c r="G60" s="30"/>
      <c r="H60" s="37"/>
      <c r="I60" s="37"/>
      <c r="J60" s="37"/>
      <c r="K60" s="37"/>
      <c r="L60" s="37"/>
    </row>
    <row r="61" spans="1:12" ht="39" customHeight="1" x14ac:dyDescent="0.3">
      <c r="A61" s="28" t="s">
        <v>40</v>
      </c>
      <c r="B61" s="1" t="s">
        <v>39</v>
      </c>
      <c r="C61" s="2">
        <v>2240</v>
      </c>
      <c r="D61" s="29">
        <f>56500+3000+11000+3000+1558+257+13545</f>
        <v>88860</v>
      </c>
      <c r="E61" s="1" t="s">
        <v>59</v>
      </c>
      <c r="F61" s="13">
        <v>43466</v>
      </c>
      <c r="G61" s="30"/>
      <c r="H61" s="37"/>
      <c r="I61" s="37"/>
      <c r="J61" s="37"/>
      <c r="K61" s="37"/>
      <c r="L61" s="37"/>
    </row>
    <row r="62" spans="1:12" ht="61.5" customHeight="1" x14ac:dyDescent="0.3">
      <c r="A62" s="28" t="s">
        <v>128</v>
      </c>
      <c r="B62" s="1" t="s">
        <v>43</v>
      </c>
      <c r="C62" s="2">
        <v>2240</v>
      </c>
      <c r="D62" s="29">
        <f>8250+348.62-1840-1165-67.01+500+972.09+1112.35+1000+263+1258.92</f>
        <v>10632.970000000001</v>
      </c>
      <c r="E62" s="1" t="s">
        <v>90</v>
      </c>
      <c r="F62" s="13">
        <v>43617</v>
      </c>
      <c r="G62" s="30"/>
      <c r="H62" s="37"/>
      <c r="I62" s="37"/>
      <c r="J62" s="37"/>
      <c r="K62" s="37"/>
      <c r="L62" s="37"/>
    </row>
    <row r="63" spans="1:12" s="6" customFormat="1" ht="41.25" customHeight="1" x14ac:dyDescent="0.3">
      <c r="A63" s="28" t="s">
        <v>191</v>
      </c>
      <c r="B63" s="1" t="s">
        <v>190</v>
      </c>
      <c r="C63" s="2">
        <v>2240</v>
      </c>
      <c r="D63" s="29">
        <f>9300+5697.48</f>
        <v>14997.48</v>
      </c>
      <c r="E63" s="1" t="s">
        <v>90</v>
      </c>
      <c r="F63" s="13">
        <v>43800</v>
      </c>
      <c r="G63" s="30"/>
      <c r="H63" s="5"/>
      <c r="I63" s="5"/>
      <c r="J63" s="5"/>
      <c r="K63" s="5"/>
      <c r="L63" s="5"/>
    </row>
    <row r="64" spans="1:12" ht="41.25" customHeight="1" x14ac:dyDescent="0.3">
      <c r="A64" s="28" t="s">
        <v>137</v>
      </c>
      <c r="B64" s="1" t="s">
        <v>76</v>
      </c>
      <c r="C64" s="2">
        <v>2240</v>
      </c>
      <c r="D64" s="29">
        <f>5000-5000+8000+1800</f>
        <v>9800</v>
      </c>
      <c r="E64" s="1" t="s">
        <v>90</v>
      </c>
      <c r="F64" s="13">
        <v>43618</v>
      </c>
      <c r="G64" s="30"/>
      <c r="H64" s="37"/>
      <c r="I64" s="37"/>
      <c r="J64" s="37"/>
      <c r="K64" s="37"/>
      <c r="L64" s="37"/>
    </row>
    <row r="65" spans="1:12" ht="27.75" customHeight="1" x14ac:dyDescent="0.3">
      <c r="A65" s="28" t="s">
        <v>45</v>
      </c>
      <c r="B65" s="1" t="s">
        <v>44</v>
      </c>
      <c r="C65" s="2">
        <v>2240</v>
      </c>
      <c r="D65" s="29">
        <f>15400-1000-263</f>
        <v>14137</v>
      </c>
      <c r="E65" s="1" t="s">
        <v>90</v>
      </c>
      <c r="F65" s="13">
        <v>43466</v>
      </c>
      <c r="G65" s="30"/>
      <c r="H65" s="37"/>
      <c r="I65" s="37"/>
      <c r="J65" s="37"/>
      <c r="K65" s="37"/>
      <c r="L65" s="37"/>
    </row>
    <row r="66" spans="1:12" ht="51" customHeight="1" x14ac:dyDescent="0.3">
      <c r="A66" s="28" t="s">
        <v>47</v>
      </c>
      <c r="B66" s="1" t="s">
        <v>46</v>
      </c>
      <c r="C66" s="2">
        <v>2240</v>
      </c>
      <c r="D66" s="29">
        <f>10300+92.88</f>
        <v>10392.879999999999</v>
      </c>
      <c r="E66" s="1" t="s">
        <v>90</v>
      </c>
      <c r="F66" s="13">
        <v>43467</v>
      </c>
      <c r="G66" s="30"/>
      <c r="H66" s="37"/>
      <c r="I66" s="37"/>
      <c r="J66" s="37"/>
      <c r="K66" s="37"/>
      <c r="L66" s="37"/>
    </row>
    <row r="67" spans="1:12" ht="41.25" customHeight="1" x14ac:dyDescent="0.3">
      <c r="A67" s="28" t="s">
        <v>93</v>
      </c>
      <c r="B67" s="1" t="s">
        <v>50</v>
      </c>
      <c r="C67" s="2">
        <v>2240</v>
      </c>
      <c r="D67" s="29">
        <v>25000</v>
      </c>
      <c r="E67" s="1" t="s">
        <v>90</v>
      </c>
      <c r="F67" s="13">
        <v>43468</v>
      </c>
      <c r="G67" s="30"/>
      <c r="H67" s="37"/>
      <c r="I67" s="37"/>
      <c r="J67" s="37"/>
      <c r="K67" s="37"/>
      <c r="L67" s="37"/>
    </row>
    <row r="68" spans="1:12" ht="43.5" customHeight="1" x14ac:dyDescent="0.3">
      <c r="A68" s="28" t="s">
        <v>48</v>
      </c>
      <c r="B68" s="1" t="s">
        <v>49</v>
      </c>
      <c r="C68" s="2">
        <v>2240</v>
      </c>
      <c r="D68" s="29">
        <f>22500-500-1258.92-92.88</f>
        <v>20648.2</v>
      </c>
      <c r="E68" s="1" t="s">
        <v>90</v>
      </c>
      <c r="F68" s="13">
        <v>43466</v>
      </c>
      <c r="G68" s="30"/>
      <c r="H68" s="37"/>
      <c r="I68" s="37"/>
      <c r="J68" s="37"/>
      <c r="K68" s="37"/>
      <c r="L68" s="37"/>
    </row>
    <row r="69" spans="1:12" ht="50.25" customHeight="1" x14ac:dyDescent="0.3">
      <c r="A69" s="28" t="s">
        <v>94</v>
      </c>
      <c r="B69" s="1" t="s">
        <v>51</v>
      </c>
      <c r="C69" s="2">
        <v>2240</v>
      </c>
      <c r="D69" s="29">
        <f>20000+14394.41-11340-7048.24</f>
        <v>16006.170000000004</v>
      </c>
      <c r="E69" s="1" t="s">
        <v>90</v>
      </c>
      <c r="F69" s="13">
        <v>43710</v>
      </c>
      <c r="G69" s="30"/>
      <c r="H69" s="37"/>
      <c r="I69" s="37"/>
      <c r="J69" s="37"/>
      <c r="K69" s="37"/>
      <c r="L69" s="37"/>
    </row>
    <row r="70" spans="1:12" ht="50.25" customHeight="1" x14ac:dyDescent="0.3">
      <c r="A70" s="28" t="s">
        <v>138</v>
      </c>
      <c r="B70" s="1" t="s">
        <v>75</v>
      </c>
      <c r="C70" s="2">
        <v>2240</v>
      </c>
      <c r="D70" s="29">
        <f>17200-15296.27-385.63-1300+11340+7048.24-532.99-3000-1596-1112.35</f>
        <v>12364.999999999995</v>
      </c>
      <c r="E70" s="1" t="s">
        <v>90</v>
      </c>
      <c r="F70" s="13">
        <v>43497</v>
      </c>
      <c r="G70" s="30"/>
      <c r="H70" s="37"/>
      <c r="I70" s="37"/>
      <c r="J70" s="37"/>
      <c r="K70" s="37"/>
      <c r="L70" s="37"/>
    </row>
    <row r="71" spans="1:12" ht="37.5" x14ac:dyDescent="0.3">
      <c r="A71" s="28" t="s">
        <v>38</v>
      </c>
      <c r="B71" s="1" t="s">
        <v>37</v>
      </c>
      <c r="C71" s="2">
        <v>2240</v>
      </c>
      <c r="D71" s="29">
        <f>10000-9300</f>
        <v>700</v>
      </c>
      <c r="E71" s="1" t="s">
        <v>90</v>
      </c>
      <c r="F71" s="13">
        <v>43556</v>
      </c>
      <c r="G71" s="30"/>
      <c r="H71" s="37"/>
      <c r="I71" s="37"/>
      <c r="J71" s="37"/>
      <c r="K71" s="37"/>
      <c r="L71" s="37"/>
    </row>
    <row r="72" spans="1:12" ht="50.25" customHeight="1" x14ac:dyDescent="0.3">
      <c r="A72" s="28" t="s">
        <v>67</v>
      </c>
      <c r="B72" s="1" t="s">
        <v>66</v>
      </c>
      <c r="C72" s="2">
        <v>2240</v>
      </c>
      <c r="D72" s="29">
        <v>148593.60000000001</v>
      </c>
      <c r="E72" s="1" t="s">
        <v>59</v>
      </c>
      <c r="F72" s="13">
        <v>43466</v>
      </c>
      <c r="G72" s="30"/>
      <c r="H72" s="37"/>
      <c r="I72" s="37"/>
      <c r="J72" s="37"/>
      <c r="K72" s="37"/>
      <c r="L72" s="37"/>
    </row>
    <row r="73" spans="1:12" ht="50.25" customHeight="1" x14ac:dyDescent="0.3">
      <c r="A73" s="1" t="s">
        <v>95</v>
      </c>
      <c r="B73" s="1" t="s">
        <v>52</v>
      </c>
      <c r="C73" s="2">
        <v>2240</v>
      </c>
      <c r="D73" s="29">
        <v>30744</v>
      </c>
      <c r="E73" s="1" t="s">
        <v>90</v>
      </c>
      <c r="F73" s="13">
        <v>43467</v>
      </c>
      <c r="G73" s="30"/>
      <c r="H73" s="37"/>
      <c r="I73" s="37"/>
      <c r="J73" s="37"/>
      <c r="K73" s="37"/>
      <c r="L73" s="37"/>
    </row>
    <row r="74" spans="1:12" ht="50.25" customHeight="1" x14ac:dyDescent="0.3">
      <c r="A74" s="1" t="s">
        <v>96</v>
      </c>
      <c r="B74" s="7" t="s">
        <v>101</v>
      </c>
      <c r="C74" s="2">
        <v>2240</v>
      </c>
      <c r="D74" s="29">
        <v>99633.600000000006</v>
      </c>
      <c r="E74" s="1" t="s">
        <v>59</v>
      </c>
      <c r="F74" s="13">
        <v>43468</v>
      </c>
      <c r="G74" s="30"/>
      <c r="H74" s="37"/>
      <c r="I74" s="37"/>
      <c r="J74" s="37"/>
      <c r="K74" s="37"/>
      <c r="L74" s="37"/>
    </row>
    <row r="75" spans="1:12" ht="43.5" customHeight="1" x14ac:dyDescent="0.3">
      <c r="A75" s="1" t="s">
        <v>97</v>
      </c>
      <c r="B75" s="7" t="s">
        <v>102</v>
      </c>
      <c r="C75" s="2">
        <v>2240</v>
      </c>
      <c r="D75" s="29">
        <f>82756-146-92-568+74000</f>
        <v>155950</v>
      </c>
      <c r="E75" s="1" t="s">
        <v>59</v>
      </c>
      <c r="F75" s="13">
        <v>43469</v>
      </c>
      <c r="G75" s="30"/>
      <c r="H75" s="37"/>
      <c r="I75" s="37"/>
      <c r="J75" s="37"/>
      <c r="K75" s="37"/>
      <c r="L75" s="37"/>
    </row>
    <row r="76" spans="1:12" ht="50.25" customHeight="1" x14ac:dyDescent="0.3">
      <c r="A76" s="31" t="s">
        <v>175</v>
      </c>
      <c r="B76" s="7" t="s">
        <v>104</v>
      </c>
      <c r="C76" s="2">
        <v>2240</v>
      </c>
      <c r="D76" s="59">
        <f>146+92+568+1087</f>
        <v>1893</v>
      </c>
      <c r="E76" s="1" t="s">
        <v>90</v>
      </c>
      <c r="F76" s="13">
        <v>43470</v>
      </c>
      <c r="G76" s="30"/>
      <c r="H76" s="37"/>
      <c r="I76" s="37"/>
      <c r="J76" s="37"/>
      <c r="K76" s="37"/>
      <c r="L76" s="37"/>
    </row>
    <row r="77" spans="1:12" ht="66.75" customHeight="1" x14ac:dyDescent="0.3">
      <c r="A77" s="28" t="s">
        <v>32</v>
      </c>
      <c r="B77" s="1" t="s">
        <v>31</v>
      </c>
      <c r="C77" s="2">
        <v>2240</v>
      </c>
      <c r="D77" s="29">
        <f>6420+1380</f>
        <v>7800</v>
      </c>
      <c r="E77" s="1" t="s">
        <v>90</v>
      </c>
      <c r="F77" s="13">
        <v>43468</v>
      </c>
      <c r="G77" s="30"/>
      <c r="H77" s="37"/>
      <c r="I77" s="37"/>
      <c r="J77" s="37"/>
      <c r="K77" s="37"/>
      <c r="L77" s="37"/>
    </row>
    <row r="78" spans="1:12" ht="66.75" customHeight="1" x14ac:dyDescent="0.3">
      <c r="A78" s="28" t="s">
        <v>161</v>
      </c>
      <c r="B78" s="1" t="s">
        <v>162</v>
      </c>
      <c r="C78" s="2">
        <v>2240</v>
      </c>
      <c r="D78" s="29">
        <f>1596-1596</f>
        <v>0</v>
      </c>
      <c r="E78" s="1" t="s">
        <v>90</v>
      </c>
      <c r="F78" s="13">
        <v>43739</v>
      </c>
      <c r="G78" s="30"/>
      <c r="H78" s="37"/>
      <c r="I78" s="37"/>
      <c r="J78" s="37"/>
      <c r="K78" s="37"/>
      <c r="L78" s="37"/>
    </row>
    <row r="79" spans="1:12" ht="48.75" customHeight="1" x14ac:dyDescent="0.3">
      <c r="A79" s="28" t="s">
        <v>54</v>
      </c>
      <c r="B79" s="1" t="s">
        <v>53</v>
      </c>
      <c r="C79" s="2">
        <v>2240</v>
      </c>
      <c r="D79" s="29">
        <f>1500+1300</f>
        <v>2800</v>
      </c>
      <c r="E79" s="1" t="s">
        <v>90</v>
      </c>
      <c r="F79" s="13">
        <v>43469</v>
      </c>
      <c r="G79" s="30"/>
      <c r="H79" s="37"/>
      <c r="I79" s="37"/>
      <c r="J79" s="37"/>
      <c r="K79" s="37"/>
      <c r="L79" s="37"/>
    </row>
    <row r="80" spans="1:12" ht="38.25" customHeight="1" x14ac:dyDescent="0.3">
      <c r="A80" s="28" t="s">
        <v>35</v>
      </c>
      <c r="B80" s="1" t="s">
        <v>34</v>
      </c>
      <c r="C80" s="2">
        <v>2240</v>
      </c>
      <c r="D80" s="29">
        <f>12702.8+1336</f>
        <v>14038.8</v>
      </c>
      <c r="E80" s="1" t="s">
        <v>90</v>
      </c>
      <c r="F80" s="13">
        <v>43470</v>
      </c>
      <c r="G80" s="30"/>
      <c r="H80" s="37"/>
      <c r="I80" s="37"/>
      <c r="J80" s="37"/>
      <c r="K80" s="37"/>
      <c r="L80" s="37"/>
    </row>
    <row r="81" spans="1:12" ht="43.5" customHeight="1" x14ac:dyDescent="0.3">
      <c r="A81" s="28" t="s">
        <v>98</v>
      </c>
      <c r="B81" s="1" t="s">
        <v>55</v>
      </c>
      <c r="C81" s="2">
        <v>2240</v>
      </c>
      <c r="D81" s="29">
        <f>10000-5697.48</f>
        <v>4302.5200000000004</v>
      </c>
      <c r="E81" s="1" t="s">
        <v>90</v>
      </c>
      <c r="F81" s="13">
        <v>43471</v>
      </c>
      <c r="G81" s="30"/>
      <c r="H81" s="37"/>
      <c r="I81" s="37"/>
      <c r="J81" s="37"/>
      <c r="K81" s="37"/>
      <c r="L81" s="37"/>
    </row>
    <row r="82" spans="1:12" ht="43.5" customHeight="1" x14ac:dyDescent="0.3">
      <c r="A82" s="28" t="s">
        <v>99</v>
      </c>
      <c r="B82" s="1" t="s">
        <v>61</v>
      </c>
      <c r="C82" s="2">
        <v>2240</v>
      </c>
      <c r="D82" s="29">
        <f>2900+1117.5</f>
        <v>4017.5</v>
      </c>
      <c r="E82" s="1" t="s">
        <v>90</v>
      </c>
      <c r="F82" s="13">
        <v>43472</v>
      </c>
      <c r="G82" s="30"/>
      <c r="H82" s="37"/>
      <c r="I82" s="37"/>
      <c r="J82" s="37"/>
      <c r="K82" s="37"/>
      <c r="L82" s="37"/>
    </row>
    <row r="83" spans="1:12" ht="43.5" customHeight="1" x14ac:dyDescent="0.3">
      <c r="A83" s="39" t="s">
        <v>127</v>
      </c>
      <c r="B83" s="1" t="s">
        <v>126</v>
      </c>
      <c r="C83" s="2">
        <v>2240</v>
      </c>
      <c r="D83" s="32">
        <f>2114.47+2200</f>
        <v>4314.4699999999993</v>
      </c>
      <c r="E83" s="33" t="s">
        <v>90</v>
      </c>
      <c r="F83" s="21">
        <v>43525</v>
      </c>
      <c r="G83" s="34"/>
      <c r="H83" s="37"/>
      <c r="I83" s="37"/>
      <c r="J83" s="37"/>
      <c r="K83" s="37"/>
      <c r="L83" s="37"/>
    </row>
    <row r="84" spans="1:12" ht="43.5" customHeight="1" x14ac:dyDescent="0.3">
      <c r="A84" s="39" t="s">
        <v>118</v>
      </c>
      <c r="B84" s="33" t="s">
        <v>56</v>
      </c>
      <c r="C84" s="36">
        <v>2240</v>
      </c>
      <c r="D84" s="32">
        <f>23400-1380-1336-1117.5-14394.41-4200-972.09</f>
        <v>0</v>
      </c>
      <c r="E84" s="33" t="s">
        <v>90</v>
      </c>
      <c r="F84" s="21">
        <v>43473</v>
      </c>
      <c r="G84" s="34"/>
      <c r="H84" s="37"/>
      <c r="I84" s="37"/>
      <c r="J84" s="37"/>
      <c r="K84" s="37"/>
      <c r="L84" s="37"/>
    </row>
    <row r="85" spans="1:12" ht="43.5" customHeight="1" thickBot="1" x14ac:dyDescent="0.35">
      <c r="A85" s="39" t="s">
        <v>148</v>
      </c>
      <c r="B85" s="33" t="s">
        <v>149</v>
      </c>
      <c r="C85" s="36">
        <v>2240</v>
      </c>
      <c r="D85" s="32">
        <v>1840</v>
      </c>
      <c r="E85" s="33" t="s">
        <v>90</v>
      </c>
      <c r="F85" s="21">
        <v>43678</v>
      </c>
      <c r="G85" s="34"/>
      <c r="H85" s="37"/>
      <c r="I85" s="37"/>
      <c r="J85" s="37"/>
      <c r="K85" s="37"/>
      <c r="L85" s="37"/>
    </row>
    <row r="86" spans="1:12" s="43" customFormat="1" ht="22.5" x14ac:dyDescent="0.3">
      <c r="A86" s="45"/>
      <c r="B86" s="71" t="s">
        <v>73</v>
      </c>
      <c r="C86" s="72"/>
      <c r="D86" s="46">
        <f>SUM(D55:D85)</f>
        <v>772649</v>
      </c>
      <c r="E86" s="47"/>
      <c r="F86" s="47"/>
      <c r="G86" s="48"/>
      <c r="H86" s="42"/>
      <c r="I86" s="42"/>
      <c r="J86" s="42"/>
      <c r="K86" s="42"/>
      <c r="L86" s="42"/>
    </row>
    <row r="87" spans="1:12" ht="41.25" customHeight="1" thickBot="1" x14ac:dyDescent="0.35">
      <c r="A87" s="49" t="s">
        <v>69</v>
      </c>
      <c r="B87" s="1" t="s">
        <v>68</v>
      </c>
      <c r="C87" s="2">
        <v>2272</v>
      </c>
      <c r="D87" s="24">
        <f>5400+1700-700+2200</f>
        <v>8600</v>
      </c>
      <c r="E87" s="1" t="s">
        <v>57</v>
      </c>
      <c r="F87" s="26">
        <v>43474</v>
      </c>
      <c r="G87" s="50"/>
      <c r="H87" s="37"/>
      <c r="I87" s="37"/>
      <c r="J87" s="37"/>
      <c r="K87" s="37"/>
      <c r="L87" s="37"/>
    </row>
    <row r="88" spans="1:12" ht="42" customHeight="1" thickBot="1" x14ac:dyDescent="0.35">
      <c r="A88" s="49" t="s">
        <v>71</v>
      </c>
      <c r="B88" s="1" t="s">
        <v>70</v>
      </c>
      <c r="C88" s="2">
        <v>2272</v>
      </c>
      <c r="D88" s="32">
        <f>3800+700+1300</f>
        <v>5800</v>
      </c>
      <c r="E88" s="1" t="s">
        <v>57</v>
      </c>
      <c r="F88" s="21">
        <v>43475</v>
      </c>
      <c r="G88" s="50"/>
      <c r="H88" s="37"/>
      <c r="I88" s="37"/>
      <c r="J88" s="37"/>
      <c r="K88" s="37"/>
      <c r="L88" s="37"/>
    </row>
    <row r="89" spans="1:12" s="43" customFormat="1" ht="22.5" x14ac:dyDescent="0.3">
      <c r="A89" s="51"/>
      <c r="B89" s="65" t="s">
        <v>74</v>
      </c>
      <c r="C89" s="66"/>
      <c r="D89" s="9">
        <f>SUM(D87:D88)</f>
        <v>14400</v>
      </c>
      <c r="E89" s="8"/>
      <c r="F89" s="10"/>
      <c r="G89" s="52"/>
      <c r="H89" s="42"/>
      <c r="I89" s="42"/>
      <c r="J89" s="42"/>
      <c r="K89" s="42"/>
      <c r="L89" s="42"/>
    </row>
    <row r="90" spans="1:12" ht="51.75" customHeight="1" x14ac:dyDescent="0.3">
      <c r="A90" s="35" t="s">
        <v>77</v>
      </c>
      <c r="B90" s="33" t="s">
        <v>58</v>
      </c>
      <c r="C90" s="36">
        <v>2273</v>
      </c>
      <c r="D90" s="63">
        <f>142200-7500+43400+16000+3132-12600</f>
        <v>184632</v>
      </c>
      <c r="E90" s="33" t="s">
        <v>59</v>
      </c>
      <c r="F90" s="21">
        <v>43475</v>
      </c>
      <c r="G90" s="50" t="s">
        <v>107</v>
      </c>
      <c r="H90" s="37"/>
      <c r="I90" s="37"/>
      <c r="J90" s="37"/>
      <c r="K90" s="37"/>
      <c r="L90" s="37"/>
    </row>
    <row r="91" spans="1:12" ht="54" customHeight="1" x14ac:dyDescent="0.3">
      <c r="A91" s="53" t="s">
        <v>109</v>
      </c>
      <c r="B91" s="1" t="s">
        <v>108</v>
      </c>
      <c r="C91" s="2">
        <v>2273</v>
      </c>
      <c r="D91" s="29">
        <f>7500+4000</f>
        <v>11500</v>
      </c>
      <c r="E91" s="1" t="s">
        <v>90</v>
      </c>
      <c r="F91" s="13">
        <v>43475</v>
      </c>
      <c r="G91" s="50" t="s">
        <v>107</v>
      </c>
      <c r="H91" s="37"/>
      <c r="I91" s="37"/>
      <c r="J91" s="37"/>
      <c r="K91" s="37"/>
      <c r="L91" s="37"/>
    </row>
    <row r="92" spans="1:12" s="43" customFormat="1" ht="22.5" x14ac:dyDescent="0.3">
      <c r="A92" s="51"/>
      <c r="B92" s="65" t="s">
        <v>112</v>
      </c>
      <c r="C92" s="66"/>
      <c r="D92" s="9">
        <f>SUM(D90:D91)</f>
        <v>196132</v>
      </c>
      <c r="E92" s="10"/>
      <c r="F92" s="10"/>
      <c r="G92" s="52"/>
      <c r="H92" s="42"/>
      <c r="I92" s="42"/>
      <c r="J92" s="42"/>
      <c r="K92" s="42"/>
      <c r="L92" s="42"/>
    </row>
    <row r="93" spans="1:12" ht="60" customHeight="1" x14ac:dyDescent="0.3">
      <c r="A93" s="39" t="s">
        <v>114</v>
      </c>
      <c r="B93" s="1" t="s">
        <v>56</v>
      </c>
      <c r="C93" s="2">
        <v>2275</v>
      </c>
      <c r="D93" s="29">
        <v>4200</v>
      </c>
      <c r="E93" s="1" t="s">
        <v>90</v>
      </c>
      <c r="F93" s="13">
        <v>43525</v>
      </c>
      <c r="G93" s="50" t="s">
        <v>115</v>
      </c>
      <c r="H93" s="37"/>
      <c r="I93" s="37"/>
      <c r="J93" s="37"/>
      <c r="K93" s="37"/>
      <c r="L93" s="37"/>
    </row>
    <row r="94" spans="1:12" s="43" customFormat="1" ht="36.75" customHeight="1" x14ac:dyDescent="0.3">
      <c r="A94" s="51"/>
      <c r="B94" s="65" t="s">
        <v>113</v>
      </c>
      <c r="C94" s="66"/>
      <c r="D94" s="9">
        <f>SUM(D93)</f>
        <v>4200</v>
      </c>
      <c r="E94" s="10"/>
      <c r="F94" s="10"/>
      <c r="G94" s="52"/>
      <c r="H94" s="42"/>
      <c r="I94" s="42"/>
      <c r="J94" s="42"/>
      <c r="K94" s="42"/>
      <c r="L94" s="42"/>
    </row>
    <row r="95" spans="1:12" ht="66.75" customHeight="1" x14ac:dyDescent="0.3">
      <c r="A95" s="28" t="s">
        <v>161</v>
      </c>
      <c r="B95" s="1" t="s">
        <v>162</v>
      </c>
      <c r="C95" s="2">
        <v>2281</v>
      </c>
      <c r="D95" s="29">
        <v>1596</v>
      </c>
      <c r="E95" s="1" t="s">
        <v>90</v>
      </c>
      <c r="F95" s="13">
        <v>43770</v>
      </c>
      <c r="G95" s="30"/>
      <c r="H95" s="37"/>
      <c r="I95" s="37"/>
      <c r="J95" s="37"/>
      <c r="K95" s="37"/>
      <c r="L95" s="37"/>
    </row>
    <row r="96" spans="1:12" s="43" customFormat="1" ht="33" customHeight="1" x14ac:dyDescent="0.3">
      <c r="A96" s="51"/>
      <c r="B96" s="65" t="s">
        <v>176</v>
      </c>
      <c r="C96" s="66"/>
      <c r="D96" s="9">
        <f>SUM(D95)</f>
        <v>1596</v>
      </c>
      <c r="E96" s="10"/>
      <c r="F96" s="10"/>
      <c r="G96" s="52"/>
      <c r="H96" s="42"/>
      <c r="I96" s="42"/>
      <c r="J96" s="42"/>
      <c r="K96" s="42"/>
      <c r="L96" s="42"/>
    </row>
    <row r="97" spans="1:12" ht="64.5" customHeight="1" x14ac:dyDescent="0.3">
      <c r="A97" s="39" t="s">
        <v>155</v>
      </c>
      <c r="B97" s="1" t="s">
        <v>154</v>
      </c>
      <c r="C97" s="2">
        <v>2282</v>
      </c>
      <c r="D97" s="29">
        <v>6078</v>
      </c>
      <c r="E97" s="1" t="s">
        <v>90</v>
      </c>
      <c r="F97" s="13">
        <v>43709</v>
      </c>
      <c r="G97" s="50" t="s">
        <v>115</v>
      </c>
      <c r="H97" s="37"/>
      <c r="I97" s="37"/>
      <c r="J97" s="37"/>
      <c r="K97" s="37"/>
      <c r="L97" s="37"/>
    </row>
    <row r="98" spans="1:12" s="43" customFormat="1" ht="36" customHeight="1" x14ac:dyDescent="0.3">
      <c r="A98" s="51"/>
      <c r="B98" s="65" t="s">
        <v>153</v>
      </c>
      <c r="C98" s="66"/>
      <c r="D98" s="9">
        <f>SUM(D97)</f>
        <v>6078</v>
      </c>
      <c r="E98" s="10"/>
      <c r="F98" s="10"/>
      <c r="G98" s="52"/>
      <c r="H98" s="42"/>
      <c r="I98" s="42"/>
      <c r="J98" s="42"/>
      <c r="K98" s="42"/>
      <c r="L98" s="42"/>
    </row>
    <row r="99" spans="1:12" s="6" customFormat="1" ht="41.25" customHeight="1" x14ac:dyDescent="0.3">
      <c r="A99" s="17" t="s">
        <v>178</v>
      </c>
      <c r="B99" s="1" t="s">
        <v>179</v>
      </c>
      <c r="C99" s="2">
        <v>3110</v>
      </c>
      <c r="D99" s="4">
        <f>112000-20918.08</f>
        <v>91081.919999999998</v>
      </c>
      <c r="E99" s="1" t="str">
        <f>$E$90</f>
        <v>Звіт про укладений договір</v>
      </c>
      <c r="F99" s="13">
        <v>43800</v>
      </c>
      <c r="G99" s="18"/>
      <c r="H99" s="5"/>
      <c r="I99" s="5"/>
      <c r="J99" s="5"/>
      <c r="K99" s="5"/>
      <c r="L99" s="5"/>
    </row>
    <row r="100" spans="1:12" ht="53.25" customHeight="1" x14ac:dyDescent="0.3">
      <c r="A100" s="39" t="s">
        <v>123</v>
      </c>
      <c r="B100" s="1" t="s">
        <v>122</v>
      </c>
      <c r="C100" s="2">
        <v>3110</v>
      </c>
      <c r="D100" s="29">
        <f>115000-8770+92000</f>
        <v>198230</v>
      </c>
      <c r="E100" s="1" t="str">
        <f>$E$90</f>
        <v>Звіт про укладений договір</v>
      </c>
      <c r="F100" s="13">
        <v>43556</v>
      </c>
      <c r="G100" s="50" t="s">
        <v>115</v>
      </c>
      <c r="H100" s="37"/>
      <c r="I100" s="37"/>
      <c r="J100" s="37"/>
      <c r="K100" s="37"/>
      <c r="L100" s="37"/>
    </row>
    <row r="101" spans="1:12" s="6" customFormat="1" ht="46.5" customHeight="1" x14ac:dyDescent="0.3">
      <c r="A101" s="17" t="s">
        <v>192</v>
      </c>
      <c r="B101" s="1" t="s">
        <v>16</v>
      </c>
      <c r="C101" s="2">
        <v>3110</v>
      </c>
      <c r="D101" s="4">
        <v>156800</v>
      </c>
      <c r="E101" s="2" t="s">
        <v>59</v>
      </c>
      <c r="F101" s="13">
        <v>43800</v>
      </c>
      <c r="G101" s="18"/>
      <c r="H101" s="5"/>
      <c r="I101" s="5"/>
      <c r="J101" s="5"/>
      <c r="K101" s="5"/>
      <c r="L101" s="5"/>
    </row>
    <row r="102" spans="1:12" ht="62.25" customHeight="1" x14ac:dyDescent="0.3">
      <c r="A102" s="39" t="s">
        <v>125</v>
      </c>
      <c r="B102" s="1" t="s">
        <v>124</v>
      </c>
      <c r="C102" s="2">
        <v>3110</v>
      </c>
      <c r="D102" s="29">
        <f>160000-12317.92</f>
        <v>147682.07999999999</v>
      </c>
      <c r="E102" s="1" t="str">
        <f>$E$90</f>
        <v>Звіт про укладений договір</v>
      </c>
      <c r="F102" s="13">
        <v>43525</v>
      </c>
      <c r="G102" s="50" t="s">
        <v>115</v>
      </c>
      <c r="H102" s="37"/>
      <c r="I102" s="37"/>
      <c r="J102" s="37"/>
      <c r="K102" s="37"/>
      <c r="L102" s="37"/>
    </row>
    <row r="103" spans="1:12" ht="54" customHeight="1" x14ac:dyDescent="0.3">
      <c r="A103" s="39" t="s">
        <v>141</v>
      </c>
      <c r="B103" s="1" t="s">
        <v>133</v>
      </c>
      <c r="C103" s="2">
        <v>3110</v>
      </c>
      <c r="D103" s="29">
        <f>8770+12317.92+20918.08</f>
        <v>42006</v>
      </c>
      <c r="E103" s="1" t="str">
        <f>$E$90</f>
        <v>Звіт про укладений договір</v>
      </c>
      <c r="F103" s="13">
        <v>43556</v>
      </c>
      <c r="G103" s="50" t="s">
        <v>115</v>
      </c>
      <c r="H103" s="37"/>
      <c r="I103" s="37"/>
      <c r="J103" s="37"/>
      <c r="K103" s="37"/>
      <c r="L103" s="37"/>
    </row>
    <row r="104" spans="1:12" s="43" customFormat="1" ht="39.75" customHeight="1" x14ac:dyDescent="0.3">
      <c r="A104" s="51"/>
      <c r="B104" s="65" t="s">
        <v>121</v>
      </c>
      <c r="C104" s="66"/>
      <c r="D104" s="9">
        <f>SUM(D99:D103)</f>
        <v>635800</v>
      </c>
      <c r="E104" s="10"/>
      <c r="F104" s="10"/>
      <c r="G104" s="52"/>
      <c r="H104" s="42"/>
      <c r="I104" s="42"/>
      <c r="J104" s="42"/>
      <c r="K104" s="42"/>
      <c r="L104" s="42"/>
    </row>
    <row r="105" spans="1:12" ht="99" customHeight="1" x14ac:dyDescent="0.3">
      <c r="A105" s="39" t="s">
        <v>119</v>
      </c>
      <c r="B105" s="1" t="s">
        <v>116</v>
      </c>
      <c r="C105" s="2">
        <v>3142</v>
      </c>
      <c r="D105" s="29">
        <v>70772</v>
      </c>
      <c r="E105" s="1" t="str">
        <f>$E$90</f>
        <v>Звіт про укладений договір</v>
      </c>
      <c r="F105" s="13">
        <v>43525</v>
      </c>
      <c r="G105" s="50" t="s">
        <v>107</v>
      </c>
      <c r="H105" s="37"/>
      <c r="I105" s="37"/>
      <c r="J105" s="37"/>
      <c r="K105" s="37"/>
      <c r="L105" s="37"/>
    </row>
    <row r="106" spans="1:12" ht="99" customHeight="1" x14ac:dyDescent="0.3">
      <c r="A106" s="39" t="s">
        <v>169</v>
      </c>
      <c r="B106" s="1" t="s">
        <v>170</v>
      </c>
      <c r="C106" s="2">
        <v>3142</v>
      </c>
      <c r="D106" s="29">
        <v>279392</v>
      </c>
      <c r="E106" s="1" t="str">
        <f>$E$90</f>
        <v>Звіт про укладений договір</v>
      </c>
      <c r="F106" s="13">
        <v>43770</v>
      </c>
      <c r="G106" s="50" t="s">
        <v>115</v>
      </c>
      <c r="H106" s="37"/>
      <c r="I106" s="37"/>
      <c r="J106" s="37"/>
      <c r="K106" s="37"/>
      <c r="L106" s="37"/>
    </row>
    <row r="107" spans="1:12" ht="99" customHeight="1" x14ac:dyDescent="0.3">
      <c r="A107" s="39" t="s">
        <v>171</v>
      </c>
      <c r="B107" s="1" t="s">
        <v>170</v>
      </c>
      <c r="C107" s="2">
        <v>3142</v>
      </c>
      <c r="D107" s="29">
        <v>55158</v>
      </c>
      <c r="E107" s="1" t="str">
        <f>$E$90</f>
        <v>Звіт про укладений договір</v>
      </c>
      <c r="F107" s="13">
        <v>43770</v>
      </c>
      <c r="G107" s="50" t="s">
        <v>115</v>
      </c>
      <c r="H107" s="37"/>
      <c r="I107" s="37"/>
      <c r="J107" s="37"/>
      <c r="K107" s="37"/>
      <c r="L107" s="37"/>
    </row>
    <row r="108" spans="1:12" s="43" customFormat="1" ht="47.25" customHeight="1" thickBot="1" x14ac:dyDescent="0.35">
      <c r="A108" s="54"/>
      <c r="B108" s="73" t="s">
        <v>117</v>
      </c>
      <c r="C108" s="74"/>
      <c r="D108" s="55">
        <f>SUM(D105:D107)</f>
        <v>405322</v>
      </c>
      <c r="E108" s="56"/>
      <c r="F108" s="56"/>
      <c r="G108" s="57"/>
      <c r="H108" s="42"/>
      <c r="I108" s="42"/>
      <c r="J108" s="42"/>
      <c r="K108" s="42"/>
      <c r="L108" s="42"/>
    </row>
    <row r="109" spans="1:12" ht="60.75" customHeight="1" x14ac:dyDescent="0.3">
      <c r="A109" s="70" t="s">
        <v>198</v>
      </c>
      <c r="B109" s="70"/>
      <c r="C109" s="70"/>
      <c r="D109" s="64"/>
      <c r="E109" s="64"/>
    </row>
    <row r="110" spans="1:12" ht="13.5" customHeight="1" x14ac:dyDescent="0.3">
      <c r="A110" s="62"/>
      <c r="B110" s="62"/>
      <c r="C110" s="62"/>
      <c r="D110" s="62"/>
      <c r="E110" s="62"/>
    </row>
    <row r="111" spans="1:12" ht="13.5" customHeight="1" x14ac:dyDescent="0.3">
      <c r="A111" s="67" t="s">
        <v>78</v>
      </c>
      <c r="B111" s="67"/>
      <c r="C111" s="62"/>
      <c r="D111" s="62" t="s">
        <v>63</v>
      </c>
      <c r="E111" s="40" t="s">
        <v>79</v>
      </c>
    </row>
    <row r="112" spans="1:12" ht="25.5" customHeight="1" x14ac:dyDescent="0.3">
      <c r="A112" s="67"/>
      <c r="B112" s="67"/>
      <c r="C112" s="62"/>
      <c r="D112" s="62"/>
      <c r="E112" s="40"/>
    </row>
    <row r="113" spans="1:5" ht="18.75" customHeight="1" x14ac:dyDescent="0.3">
      <c r="A113" s="67" t="s">
        <v>105</v>
      </c>
      <c r="B113" s="67"/>
      <c r="C113" s="62"/>
      <c r="D113" s="62" t="s">
        <v>63</v>
      </c>
      <c r="E113" s="44" t="s">
        <v>106</v>
      </c>
    </row>
  </sheetData>
  <sheetProtection algorithmName="SHA-512" hashValue="Nr7wtQvYVbMYis5UUb1GEHnPfW+iniUO27Sr+1Kr6GYE07x/e/t1rNzY5Cecj42FDllL2LL5gaUKNqHKoC9m2g==" saltValue="WxNIrTbBnX5hTR+jgJo6fQ==" spinCount="100000" sheet="1" objects="1" scenarios="1"/>
  <mergeCells count="17">
    <mergeCell ref="A1:G1"/>
    <mergeCell ref="A2:G2"/>
    <mergeCell ref="A3:G3"/>
    <mergeCell ref="A4:G4"/>
    <mergeCell ref="A109:C109"/>
    <mergeCell ref="B54:C54"/>
    <mergeCell ref="B86:C86"/>
    <mergeCell ref="B92:C92"/>
    <mergeCell ref="B94:C94"/>
    <mergeCell ref="B108:C108"/>
    <mergeCell ref="B104:C104"/>
    <mergeCell ref="B96:C96"/>
    <mergeCell ref="B98:C98"/>
    <mergeCell ref="A113:B113"/>
    <mergeCell ref="B89:C89"/>
    <mergeCell ref="A111:B111"/>
    <mergeCell ref="A112:B112"/>
  </mergeCells>
  <dataValidations count="5">
    <dataValidation type="textLength" allowBlank="1" showInputMessage="1" showErrorMessage="1" promptTitle="обов'язкове" prompt="обов'язкове" sqref="A97 A55:A85 A95 A90:A91 A93 A105:A107 A99:A103 A41:A53 A7:A36" xr:uid="{00000000-0002-0000-0000-000000000000}">
      <formula1>1</formula1>
      <formula2>200000</formula2>
    </dataValidation>
    <dataValidation allowBlank="1" showInputMessage="1" showErrorMessage="1" promptTitle="обов'язкове" prompt="спочатку оберіть класифікатор, а потім через кому - код, перші 3 цифри повинні співпадати з основним класифікатором плану" sqref="B7" xr:uid="{00000000-0002-0000-0000-000001000000}"/>
    <dataValidation allowBlank="1" showInputMessage="1" showErrorMessage="1" promptTitle="обов'язкове" prompt="обов'язкове" sqref="B97 B55:B85 B95 B90:B91 B93 B105:B107 B41:B53 B100:B103 B11:B36" xr:uid="{00000000-0002-0000-0000-000002000000}"/>
    <dataValidation type="date" showInputMessage="1" showErrorMessage="1" promptTitle="обов'язкове" prompt="обов'язкове" sqref="F87:F88 F55:F85 F95 F97 F90:F91 F93 F105:F107 F99:F103 F7:F53" xr:uid="{00000000-0002-0000-0000-000003000000}">
      <formula1>1</formula1>
      <formula2>73051</formula2>
    </dataValidation>
    <dataValidation type="decimal" allowBlank="1" showInputMessage="1" showErrorMessage="1" errorTitle="Очікувана вартість" error="Очікувана вартість предмета закупівлі - тілько число" sqref="D87:D88 D55:D85 D105:D107 D90:D91 D93 D95 D97 D100 D102:D103" xr:uid="{00000000-0002-0000-0000-000004000000}">
      <formula1>0</formula1>
      <formula2>1E+32</formula2>
    </dataValidation>
  </dataValidations>
  <pageMargins left="0.47244094488188981" right="0.23622047244094491" top="0.39370078740157483" bottom="0.43307086614173229" header="0.19685039370078741" footer="0"/>
  <pageSetup paperSize="9" scale="47" fitToHeight="0" orientation="landscape" r:id="rId1"/>
  <rowBreaks count="4" manualBreakCount="4">
    <brk id="27" max="6" man="1"/>
    <brk id="55" max="6" man="1"/>
    <brk id="79" max="6" man="1"/>
    <brk id="10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Додаток</vt:lpstr>
      <vt:lpstr>Додаток!Область_друку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2020-05-19T07:59:15Z</dcterms:modified>
</cp:coreProperties>
</file>